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EGO XIMENES\Dropbox\MARAGOGI\CONCORRENCIAS\COMPLEXO ESPORTIVO\COMPLEXO CAIXA\ORÇAMENTO\"/>
    </mc:Choice>
  </mc:AlternateContent>
  <xr:revisionPtr revIDLastSave="0" documentId="13_ncr:1_{E280CB03-7091-44E4-9B3D-4E4A0695048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M" sheetId="1" r:id="rId1"/>
    <sheet name="CFF-BM" sheetId="2" r:id="rId2"/>
    <sheet name="BDI" sheetId="3" r:id="rId3"/>
    <sheet name="ENCARGOS" sheetId="4" r:id="rId4"/>
    <sheet name="ABC" sheetId="5" r:id="rId5"/>
  </sheets>
  <externalReferences>
    <externalReference r:id="rId6"/>
  </externalReferences>
  <definedNames>
    <definedName name="_xlnm.Print_Area" localSheetId="4">ABC!$A$1:$H$12</definedName>
    <definedName name="_xlnm.Print_Area" localSheetId="2">BDI!$A$1:$R$31</definedName>
    <definedName name="_xlnm.Print_Area" localSheetId="0">BM!$A$1:$Q$143</definedName>
    <definedName name="_xlnm.Print_Titles" localSheetId="0">BM!$1:$5</definedName>
  </definedNames>
  <calcPr calcId="191029"/>
</workbook>
</file>

<file path=xl/calcChain.xml><?xml version="1.0" encoding="utf-8"?>
<calcChain xmlns="http://schemas.openxmlformats.org/spreadsheetml/2006/main">
  <c r="H7" i="5" l="1"/>
  <c r="H8" i="5"/>
  <c r="H9" i="5"/>
  <c r="H10" i="5"/>
  <c r="H11" i="5"/>
  <c r="H12" i="5"/>
  <c r="H6" i="5"/>
  <c r="I29" i="3"/>
  <c r="M26" i="3"/>
  <c r="I22" i="3"/>
  <c r="C22" i="3"/>
  <c r="A22" i="3"/>
  <c r="A23" i="3" s="1"/>
  <c r="C21" i="3"/>
  <c r="O19" i="3"/>
  <c r="N18" i="3"/>
  <c r="N17" i="3"/>
  <c r="M16" i="3"/>
  <c r="I16" i="3"/>
  <c r="A16" i="3"/>
  <c r="C16" i="3" s="1"/>
  <c r="N15" i="3"/>
  <c r="N20" i="3" s="1"/>
  <c r="O20" i="3" s="1"/>
  <c r="V21" i="3" s="1"/>
  <c r="T10" i="3" s="1"/>
  <c r="M15" i="3"/>
  <c r="I15" i="3"/>
  <c r="C15" i="3"/>
  <c r="N14" i="3"/>
  <c r="N21" i="3" s="1"/>
  <c r="M14" i="3"/>
  <c r="I14" i="3"/>
  <c r="M13" i="3"/>
  <c r="I13" i="3"/>
  <c r="M12" i="3"/>
  <c r="I12" i="3"/>
  <c r="A9" i="3"/>
  <c r="A11" i="3" s="1"/>
  <c r="C8" i="3"/>
  <c r="C7" i="3"/>
  <c r="C6" i="3"/>
  <c r="Q5" i="3"/>
  <c r="I31" i="3" s="1"/>
  <c r="C5" i="3"/>
  <c r="C4" i="3"/>
  <c r="A12" i="3" l="1"/>
  <c r="C11" i="3"/>
  <c r="C23" i="3"/>
  <c r="A26" i="3"/>
  <c r="C9" i="3"/>
  <c r="A17" i="3"/>
  <c r="L26" i="3"/>
  <c r="O21" i="3"/>
  <c r="M27" i="3"/>
  <c r="A13" i="3" l="1"/>
  <c r="C12" i="3"/>
  <c r="A18" i="3"/>
  <c r="C17" i="3"/>
  <c r="A27" i="3"/>
  <c r="C26" i="3"/>
  <c r="A28" i="3" l="1"/>
  <c r="C28" i="3" s="1"/>
  <c r="C27" i="3"/>
  <c r="C18" i="3"/>
  <c r="A19" i="3"/>
  <c r="A14" i="3"/>
  <c r="C14" i="3" s="1"/>
  <c r="C13" i="3"/>
  <c r="A20" i="3" l="1"/>
  <c r="C20" i="3" s="1"/>
  <c r="C19" i="3"/>
  <c r="K141" i="1" l="1"/>
  <c r="Q141" i="1" s="1"/>
  <c r="L141" i="1" s="1"/>
  <c r="F141" i="1"/>
  <c r="K140" i="1"/>
  <c r="Q140" i="1" s="1"/>
  <c r="L140" i="1" s="1"/>
  <c r="F140" i="1"/>
  <c r="K139" i="1"/>
  <c r="Q139" i="1" s="1"/>
  <c r="L139" i="1" s="1"/>
  <c r="F139" i="1"/>
  <c r="K138" i="1"/>
  <c r="Q138" i="1" s="1"/>
  <c r="L138" i="1" s="1"/>
  <c r="F138" i="1"/>
  <c r="K136" i="1"/>
  <c r="Q136" i="1" s="1"/>
  <c r="L136" i="1" s="1"/>
  <c r="F136" i="1"/>
  <c r="K135" i="1"/>
  <c r="Q135" i="1" s="1"/>
  <c r="L135" i="1" s="1"/>
  <c r="F135" i="1"/>
  <c r="K134" i="1"/>
  <c r="Q134" i="1" s="1"/>
  <c r="L134" i="1" s="1"/>
  <c r="F134" i="1"/>
  <c r="K133" i="1"/>
  <c r="Q133" i="1" s="1"/>
  <c r="L133" i="1" s="1"/>
  <c r="F133" i="1"/>
  <c r="K132" i="1"/>
  <c r="Q132" i="1" s="1"/>
  <c r="L132" i="1" s="1"/>
  <c r="F132" i="1"/>
  <c r="K131" i="1"/>
  <c r="Q131" i="1" s="1"/>
  <c r="L131" i="1" s="1"/>
  <c r="F131" i="1"/>
  <c r="K130" i="1"/>
  <c r="Q130" i="1" s="1"/>
  <c r="L130" i="1" s="1"/>
  <c r="F130" i="1"/>
  <c r="K129" i="1"/>
  <c r="Q129" i="1" s="1"/>
  <c r="L129" i="1" s="1"/>
  <c r="F129" i="1"/>
  <c r="K127" i="1"/>
  <c r="Q127" i="1" s="1"/>
  <c r="L127" i="1" s="1"/>
  <c r="F127" i="1"/>
  <c r="K126" i="1"/>
  <c r="Q126" i="1" s="1"/>
  <c r="L126" i="1" s="1"/>
  <c r="F126" i="1"/>
  <c r="K125" i="1"/>
  <c r="Q125" i="1" s="1"/>
  <c r="L125" i="1" s="1"/>
  <c r="F125" i="1"/>
  <c r="K124" i="1"/>
  <c r="Q124" i="1" s="1"/>
  <c r="L124" i="1" s="1"/>
  <c r="F124" i="1"/>
  <c r="K123" i="1"/>
  <c r="Q123" i="1" s="1"/>
  <c r="L123" i="1" s="1"/>
  <c r="F123" i="1"/>
  <c r="K122" i="1"/>
  <c r="Q122" i="1" s="1"/>
  <c r="L122" i="1" s="1"/>
  <c r="F122" i="1"/>
  <c r="K121" i="1"/>
  <c r="Q121" i="1" s="1"/>
  <c r="L121" i="1" s="1"/>
  <c r="F121" i="1"/>
  <c r="K120" i="1"/>
  <c r="Q120" i="1" s="1"/>
  <c r="L120" i="1" s="1"/>
  <c r="F120" i="1"/>
  <c r="K119" i="1"/>
  <c r="Q119" i="1" s="1"/>
  <c r="L119" i="1" s="1"/>
  <c r="F119" i="1"/>
  <c r="K118" i="1"/>
  <c r="Q118" i="1" s="1"/>
  <c r="L118" i="1" s="1"/>
  <c r="F118" i="1"/>
  <c r="K117" i="1"/>
  <c r="Q117" i="1" s="1"/>
  <c r="L117" i="1" s="1"/>
  <c r="F117" i="1"/>
  <c r="K116" i="1"/>
  <c r="Q116" i="1" s="1"/>
  <c r="L116" i="1" s="1"/>
  <c r="F116" i="1"/>
  <c r="K115" i="1"/>
  <c r="Q115" i="1" s="1"/>
  <c r="L115" i="1" s="1"/>
  <c r="F115" i="1"/>
  <c r="K114" i="1"/>
  <c r="Q114" i="1" s="1"/>
  <c r="L114" i="1" s="1"/>
  <c r="F114" i="1"/>
  <c r="K113" i="1"/>
  <c r="Q113" i="1" s="1"/>
  <c r="L113" i="1" s="1"/>
  <c r="F113" i="1"/>
  <c r="K112" i="1"/>
  <c r="Q112" i="1" s="1"/>
  <c r="L112" i="1" s="1"/>
  <c r="F112" i="1"/>
  <c r="K111" i="1"/>
  <c r="Q111" i="1" s="1"/>
  <c r="L111" i="1" s="1"/>
  <c r="F111" i="1"/>
  <c r="K110" i="1"/>
  <c r="Q110" i="1" s="1"/>
  <c r="L110" i="1" s="1"/>
  <c r="F110" i="1"/>
  <c r="K109" i="1"/>
  <c r="Q109" i="1" s="1"/>
  <c r="L109" i="1" s="1"/>
  <c r="F109" i="1"/>
  <c r="K108" i="1"/>
  <c r="Q108" i="1" s="1"/>
  <c r="L108" i="1" s="1"/>
  <c r="F108" i="1"/>
  <c r="K107" i="1"/>
  <c r="Q107" i="1" s="1"/>
  <c r="L107" i="1" s="1"/>
  <c r="F107" i="1"/>
  <c r="K106" i="1"/>
  <c r="Q106" i="1" s="1"/>
  <c r="L106" i="1" s="1"/>
  <c r="F106" i="1"/>
  <c r="K105" i="1"/>
  <c r="Q105" i="1" s="1"/>
  <c r="L105" i="1" s="1"/>
  <c r="F105" i="1"/>
  <c r="K104" i="1"/>
  <c r="Q104" i="1" s="1"/>
  <c r="L104" i="1" s="1"/>
  <c r="F104" i="1"/>
  <c r="K103" i="1"/>
  <c r="Q103" i="1" s="1"/>
  <c r="L103" i="1" s="1"/>
  <c r="F103" i="1"/>
  <c r="K102" i="1"/>
  <c r="Q102" i="1" s="1"/>
  <c r="L102" i="1" s="1"/>
  <c r="F102" i="1"/>
  <c r="K100" i="1"/>
  <c r="Q100" i="1" s="1"/>
  <c r="L100" i="1" s="1"/>
  <c r="F100" i="1"/>
  <c r="K99" i="1"/>
  <c r="Q99" i="1" s="1"/>
  <c r="L99" i="1" s="1"/>
  <c r="F99" i="1"/>
  <c r="K98" i="1"/>
  <c r="Q98" i="1" s="1"/>
  <c r="L98" i="1" s="1"/>
  <c r="F98" i="1"/>
  <c r="K97" i="1"/>
  <c r="Q97" i="1" s="1"/>
  <c r="L97" i="1" s="1"/>
  <c r="F97" i="1"/>
  <c r="K96" i="1"/>
  <c r="Q96" i="1" s="1"/>
  <c r="L96" i="1" s="1"/>
  <c r="F96" i="1"/>
  <c r="K95" i="1"/>
  <c r="Q95" i="1" s="1"/>
  <c r="L95" i="1" s="1"/>
  <c r="F95" i="1"/>
  <c r="K94" i="1"/>
  <c r="Q94" i="1" s="1"/>
  <c r="L94" i="1" s="1"/>
  <c r="F94" i="1"/>
  <c r="K92" i="1"/>
  <c r="Q92" i="1" s="1"/>
  <c r="L92" i="1" s="1"/>
  <c r="F92" i="1"/>
  <c r="K91" i="1"/>
  <c r="Q91" i="1" s="1"/>
  <c r="L91" i="1" s="1"/>
  <c r="F91" i="1"/>
  <c r="K90" i="1"/>
  <c r="Q90" i="1" s="1"/>
  <c r="L90" i="1" s="1"/>
  <c r="F90" i="1"/>
  <c r="K89" i="1"/>
  <c r="Q89" i="1" s="1"/>
  <c r="L89" i="1" s="1"/>
  <c r="F89" i="1"/>
  <c r="K88" i="1"/>
  <c r="Q88" i="1" s="1"/>
  <c r="L88" i="1" s="1"/>
  <c r="F88" i="1"/>
  <c r="K86" i="1"/>
  <c r="Q86" i="1" s="1"/>
  <c r="L86" i="1" s="1"/>
  <c r="F86" i="1"/>
  <c r="K85" i="1"/>
  <c r="Q85" i="1" s="1"/>
  <c r="L85" i="1" s="1"/>
  <c r="F85" i="1"/>
  <c r="K84" i="1"/>
  <c r="Q84" i="1" s="1"/>
  <c r="L84" i="1" s="1"/>
  <c r="F84" i="1"/>
  <c r="K83" i="1"/>
  <c r="Q83" i="1" s="1"/>
  <c r="L83" i="1" s="1"/>
  <c r="F83" i="1"/>
  <c r="K82" i="1"/>
  <c r="Q82" i="1" s="1"/>
  <c r="L82" i="1" s="1"/>
  <c r="F82" i="1"/>
  <c r="K80" i="1"/>
  <c r="Q80" i="1" s="1"/>
  <c r="L80" i="1" s="1"/>
  <c r="F80" i="1"/>
  <c r="K79" i="1"/>
  <c r="Q79" i="1" s="1"/>
  <c r="L79" i="1" s="1"/>
  <c r="F79" i="1"/>
  <c r="K77" i="1"/>
  <c r="Q77" i="1" s="1"/>
  <c r="L77" i="1" s="1"/>
  <c r="F77" i="1"/>
  <c r="K76" i="1"/>
  <c r="Q76" i="1" s="1"/>
  <c r="L76" i="1" s="1"/>
  <c r="F76" i="1"/>
  <c r="K75" i="1"/>
  <c r="Q75" i="1" s="1"/>
  <c r="L75" i="1" s="1"/>
  <c r="F75" i="1"/>
  <c r="K73" i="1"/>
  <c r="Q73" i="1" s="1"/>
  <c r="L73" i="1" s="1"/>
  <c r="F73" i="1"/>
  <c r="K72" i="1"/>
  <c r="Q72" i="1" s="1"/>
  <c r="L72" i="1" s="1"/>
  <c r="F72" i="1"/>
  <c r="K71" i="1"/>
  <c r="Q71" i="1" s="1"/>
  <c r="L71" i="1" s="1"/>
  <c r="F71" i="1"/>
  <c r="K70" i="1"/>
  <c r="Q70" i="1" s="1"/>
  <c r="L70" i="1" s="1"/>
  <c r="F70" i="1"/>
  <c r="K69" i="1"/>
  <c r="Q69" i="1" s="1"/>
  <c r="L69" i="1" s="1"/>
  <c r="F69" i="1"/>
  <c r="K67" i="1"/>
  <c r="Q67" i="1" s="1"/>
  <c r="L67" i="1" s="1"/>
  <c r="F67" i="1"/>
  <c r="K66" i="1"/>
  <c r="Q66" i="1" s="1"/>
  <c r="L66" i="1" s="1"/>
  <c r="F66" i="1"/>
  <c r="K65" i="1"/>
  <c r="Q65" i="1" s="1"/>
  <c r="L65" i="1" s="1"/>
  <c r="F65" i="1"/>
  <c r="K64" i="1"/>
  <c r="Q64" i="1" s="1"/>
  <c r="L64" i="1" s="1"/>
  <c r="F64" i="1"/>
  <c r="K62" i="1"/>
  <c r="Q62" i="1" s="1"/>
  <c r="L62" i="1" s="1"/>
  <c r="F62" i="1"/>
  <c r="K61" i="1"/>
  <c r="Q61" i="1" s="1"/>
  <c r="L61" i="1" s="1"/>
  <c r="F61" i="1"/>
  <c r="K60" i="1"/>
  <c r="Q60" i="1" s="1"/>
  <c r="L60" i="1" s="1"/>
  <c r="F60" i="1"/>
  <c r="K59" i="1"/>
  <c r="Q59" i="1" s="1"/>
  <c r="L59" i="1" s="1"/>
  <c r="F59" i="1"/>
  <c r="K57" i="1"/>
  <c r="Q57" i="1" s="1"/>
  <c r="L57" i="1" s="1"/>
  <c r="L56" i="1" s="1"/>
  <c r="F57" i="1"/>
  <c r="K55" i="1"/>
  <c r="Q55" i="1" s="1"/>
  <c r="L55" i="1" s="1"/>
  <c r="F55" i="1"/>
  <c r="K54" i="1"/>
  <c r="Q54" i="1" s="1"/>
  <c r="L54" i="1" s="1"/>
  <c r="F54" i="1"/>
  <c r="K53" i="1"/>
  <c r="Q53" i="1" s="1"/>
  <c r="L53" i="1" s="1"/>
  <c r="F53" i="1"/>
  <c r="K52" i="1"/>
  <c r="Q52" i="1" s="1"/>
  <c r="L52" i="1" s="1"/>
  <c r="F52" i="1"/>
  <c r="K50" i="1"/>
  <c r="Q50" i="1" s="1"/>
  <c r="L50" i="1" s="1"/>
  <c r="F50" i="1"/>
  <c r="K49" i="1"/>
  <c r="Q49" i="1" s="1"/>
  <c r="L49" i="1" s="1"/>
  <c r="F49" i="1"/>
  <c r="K48" i="1"/>
  <c r="Q48" i="1" s="1"/>
  <c r="L48" i="1" s="1"/>
  <c r="F48" i="1"/>
  <c r="K47" i="1"/>
  <c r="Q47" i="1" s="1"/>
  <c r="L47" i="1" s="1"/>
  <c r="F47" i="1"/>
  <c r="K45" i="1"/>
  <c r="Q45" i="1" s="1"/>
  <c r="L45" i="1" s="1"/>
  <c r="L44" i="1" s="1"/>
  <c r="F45" i="1"/>
  <c r="K43" i="1"/>
  <c r="Q43" i="1" s="1"/>
  <c r="L43" i="1" s="1"/>
  <c r="F43" i="1"/>
  <c r="K42" i="1"/>
  <c r="Q42" i="1" s="1"/>
  <c r="L42" i="1" s="1"/>
  <c r="F42" i="1"/>
  <c r="K40" i="1"/>
  <c r="Q40" i="1" s="1"/>
  <c r="L40" i="1" s="1"/>
  <c r="F40" i="1"/>
  <c r="K39" i="1"/>
  <c r="Q39" i="1" s="1"/>
  <c r="L39" i="1" s="1"/>
  <c r="F39" i="1"/>
  <c r="K37" i="1"/>
  <c r="Q37" i="1" s="1"/>
  <c r="L37" i="1" s="1"/>
  <c r="F37" i="1"/>
  <c r="K36" i="1"/>
  <c r="Q36" i="1" s="1"/>
  <c r="L36" i="1" s="1"/>
  <c r="F36" i="1"/>
  <c r="K35" i="1"/>
  <c r="Q35" i="1" s="1"/>
  <c r="L35" i="1" s="1"/>
  <c r="F35" i="1"/>
  <c r="K34" i="1"/>
  <c r="Q34" i="1" s="1"/>
  <c r="L34" i="1" s="1"/>
  <c r="F34" i="1"/>
  <c r="K33" i="1"/>
  <c r="Q33" i="1" s="1"/>
  <c r="L33" i="1" s="1"/>
  <c r="F33" i="1"/>
  <c r="K31" i="1"/>
  <c r="Q31" i="1" s="1"/>
  <c r="L31" i="1" s="1"/>
  <c r="F31" i="1"/>
  <c r="K30" i="1"/>
  <c r="Q30" i="1" s="1"/>
  <c r="L30" i="1" s="1"/>
  <c r="F30" i="1"/>
  <c r="K29" i="1"/>
  <c r="Q29" i="1" s="1"/>
  <c r="L29" i="1" s="1"/>
  <c r="F29" i="1"/>
  <c r="K28" i="1"/>
  <c r="Q28" i="1" s="1"/>
  <c r="L28" i="1" s="1"/>
  <c r="F28" i="1"/>
  <c r="K27" i="1"/>
  <c r="Q27" i="1" s="1"/>
  <c r="L27" i="1" s="1"/>
  <c r="F27" i="1"/>
  <c r="K25" i="1"/>
  <c r="Q25" i="1" s="1"/>
  <c r="L25" i="1" s="1"/>
  <c r="F25" i="1"/>
  <c r="K24" i="1"/>
  <c r="Q24" i="1" s="1"/>
  <c r="L24" i="1" s="1"/>
  <c r="F24" i="1"/>
  <c r="K23" i="1"/>
  <c r="Q23" i="1" s="1"/>
  <c r="L23" i="1" s="1"/>
  <c r="F23" i="1"/>
  <c r="K22" i="1"/>
  <c r="Q22" i="1" s="1"/>
  <c r="L22" i="1" s="1"/>
  <c r="F22" i="1"/>
  <c r="K21" i="1"/>
  <c r="Q21" i="1" s="1"/>
  <c r="L21" i="1" s="1"/>
  <c r="F21" i="1"/>
  <c r="K20" i="1"/>
  <c r="Q20" i="1" s="1"/>
  <c r="L20" i="1" s="1"/>
  <c r="F20" i="1"/>
  <c r="K18" i="1"/>
  <c r="Q18" i="1" s="1"/>
  <c r="L18" i="1" s="1"/>
  <c r="F18" i="1"/>
  <c r="K17" i="1"/>
  <c r="Q17" i="1" s="1"/>
  <c r="L17" i="1" s="1"/>
  <c r="F17" i="1"/>
  <c r="K16" i="1"/>
  <c r="Q16" i="1" s="1"/>
  <c r="L16" i="1" s="1"/>
  <c r="F16" i="1"/>
  <c r="K15" i="1"/>
  <c r="Q15" i="1" s="1"/>
  <c r="L15" i="1" s="1"/>
  <c r="F15" i="1"/>
  <c r="K13" i="1"/>
  <c r="Q13" i="1" s="1"/>
  <c r="L13" i="1" s="1"/>
  <c r="F13" i="1"/>
  <c r="K12" i="1"/>
  <c r="Q12" i="1" s="1"/>
  <c r="L12" i="1" s="1"/>
  <c r="F12" i="1"/>
  <c r="K11" i="1"/>
  <c r="Q11" i="1" s="1"/>
  <c r="L11" i="1" s="1"/>
  <c r="F11" i="1"/>
  <c r="K10" i="1"/>
  <c r="Q10" i="1" s="1"/>
  <c r="L10" i="1" s="1"/>
  <c r="F10" i="1"/>
  <c r="K9" i="1"/>
  <c r="Q9" i="1" s="1"/>
  <c r="L9" i="1" s="1"/>
  <c r="F9" i="1"/>
  <c r="K7" i="1"/>
  <c r="Q7" i="1" s="1"/>
  <c r="L7" i="1" s="1"/>
  <c r="L6" i="1" s="1"/>
  <c r="F7" i="1"/>
  <c r="L137" i="1" l="1"/>
  <c r="L14" i="1"/>
  <c r="L8" i="1"/>
  <c r="L87" i="1"/>
  <c r="L38" i="1"/>
  <c r="L41" i="1"/>
  <c r="L74" i="1"/>
  <c r="L101" i="1"/>
  <c r="L26" i="1"/>
  <c r="L68" i="1"/>
  <c r="L63" i="1"/>
  <c r="L32" i="1"/>
  <c r="L78" i="1"/>
  <c r="L128" i="1"/>
  <c r="L58" i="1"/>
  <c r="L51" i="1"/>
  <c r="L81" i="1"/>
  <c r="L93" i="1"/>
  <c r="L19" i="1"/>
  <c r="L46" i="1"/>
  <c r="Q142" i="1" l="1"/>
  <c r="Q143" i="1" s="1"/>
</calcChain>
</file>

<file path=xl/sharedStrings.xml><?xml version="1.0" encoding="utf-8"?>
<sst xmlns="http://schemas.openxmlformats.org/spreadsheetml/2006/main" count="1673" uniqueCount="416">
  <si>
    <t>Nivel</t>
  </si>
  <si>
    <t>N° Macrosserviço / Serviço</t>
  </si>
  <si>
    <t>Fonte</t>
  </si>
  <si>
    <t>Código</t>
  </si>
  <si>
    <t>Descrição Macrosserviço / Serviço</t>
  </si>
  <si>
    <t>Qtd. (valor calculado)</t>
  </si>
  <si>
    <t>Und.</t>
  </si>
  <si>
    <t>Custo Unitário Referência</t>
  </si>
  <si>
    <t>Custo Unitário</t>
  </si>
  <si>
    <t>BDI</t>
  </si>
  <si>
    <t>Preço Unitário (valor calculado)</t>
  </si>
  <si>
    <t>Preço Total (valor calculado)</t>
  </si>
  <si>
    <t>Observação</t>
  </si>
  <si>
    <t>N° Frente de Obra</t>
  </si>
  <si>
    <t>Frente de Obra</t>
  </si>
  <si>
    <t>Qtd.</t>
  </si>
  <si>
    <t>Valor</t>
  </si>
  <si>
    <t>Macrosserviço</t>
  </si>
  <si>
    <t>1</t>
  </si>
  <si>
    <t/>
  </si>
  <si>
    <t>ADMINISTRAÇÃO LOCAL</t>
  </si>
  <si>
    <t>Serviço</t>
  </si>
  <si>
    <t>1.1</t>
  </si>
  <si>
    <t>Outros</t>
  </si>
  <si>
    <t>CPU01</t>
  </si>
  <si>
    <t>UN</t>
  </si>
  <si>
    <t>2</t>
  </si>
  <si>
    <t>SERVIÇOS PRELIMINARES</t>
  </si>
  <si>
    <t>2.1</t>
  </si>
  <si>
    <t xml:space="preserve"> 103689 </t>
  </si>
  <si>
    <t>FORNECIMENTO E INSTALAÇÃO DE PLACA DE OBRA COM CHAPA GALVANIZADA E ESTRUTURA DE MADEIRA. AF_03/2022_PS</t>
  </si>
  <si>
    <t>M2</t>
  </si>
  <si>
    <t>2.3</t>
  </si>
  <si>
    <t xml:space="preserve"> 98461 </t>
  </si>
  <si>
    <t>ESTRUTURA DE MADEIRA PROVISÓRIA PARA SUPORTE DE CAIXA DÁGUA ELEVADA DE 1000 LITROS. AF_03/2024</t>
  </si>
  <si>
    <t>2.5</t>
  </si>
  <si>
    <t xml:space="preserve"> 5048 ORSE</t>
  </si>
  <si>
    <t>Caixa d'agua de polietileno - instalada, exceto base de apoio, cap. 1000 litros</t>
  </si>
  <si>
    <t>2.7</t>
  </si>
  <si>
    <t xml:space="preserve"> 4657 ORSE</t>
  </si>
  <si>
    <t>Locação de container - Escritório com banheiro - 6,20 x 2,40m - Rev 02_02/2022</t>
  </si>
  <si>
    <t>MÊS</t>
  </si>
  <si>
    <t>2.9</t>
  </si>
  <si>
    <t xml:space="preserve"> 100601 </t>
  </si>
  <si>
    <t>ASSENTAMENTO DE POSTE DE CONCRETO COM COMPRIMENTO NOMINAL DE 9 M, CARGA NOMINAL DE 400 DAN, ENGASTAMENTO BASE CONCRETADA COM 1 M DE CONCRETO E 0,5 M DE SOLO (NÃO INCLUI FORNECIMENTO). AF_04/2025</t>
  </si>
  <si>
    <t>3</t>
  </si>
  <si>
    <t>FUNDAÇÃO</t>
  </si>
  <si>
    <t>3.1</t>
  </si>
  <si>
    <t xml:space="preserve"> 97082 </t>
  </si>
  <si>
    <t>ESCAVAÇÃO MANUAL DE VIGA DE BORDA PARA RADIER. AF_09/2021</t>
  </si>
  <si>
    <t>M3</t>
  </si>
  <si>
    <t>4</t>
  </si>
  <si>
    <t>3.2</t>
  </si>
  <si>
    <t xml:space="preserve"> 97084 </t>
  </si>
  <si>
    <t>COMPACTAÇÃO MECÂNICA DE SOLO PARA EXECUÇÃO DE RADIER, PISO DE CONCRETO OU LAJE SOBRE SOLO, COM COMPACTADOR DE SOLOS TIPO PLACA VIBRATÓRIA. AF_09/2021</t>
  </si>
  <si>
    <t>3.3</t>
  </si>
  <si>
    <t xml:space="preserve"> 95241 </t>
  </si>
  <si>
    <t>LASTRO DE CONCRETO MAGRO, APLICADO EM PISOS, LAJES SOBRE SOLO OU RADIERS, ESPESSURA DE 5 CM. AF_01/2024</t>
  </si>
  <si>
    <t>3.4</t>
  </si>
  <si>
    <t xml:space="preserve"> 89470 </t>
  </si>
  <si>
    <t>ALVENARIA DE BLOCOS DE CONCRETO ESTRUTURAL 14X19X39 CM (ESPESSURA 14 CM), FBK = 4,5 MPA, UTILIZANDO COLHER DE PEDREIRO. AF_10/2022</t>
  </si>
  <si>
    <t>PAVIMENTAÇÃO</t>
  </si>
  <si>
    <t>4.1</t>
  </si>
  <si>
    <t xml:space="preserve"> 100576 </t>
  </si>
  <si>
    <t>REGULARIZAÇÃO E COMPACTAÇÃO DE SUBLEITO DE SOLO PREDOMINANTEMENTE ARGILOSO, PARA OBRAS DE CONSTRUÇÃO DE PAVIMENTOS. AF_09/2024</t>
  </si>
  <si>
    <t>5</t>
  </si>
  <si>
    <t>4.2</t>
  </si>
  <si>
    <t>Composição</t>
  </si>
  <si>
    <t xml:space="preserve"> 100324 </t>
  </si>
  <si>
    <t>LASTRO COM MATERIAL GRANULAR (PEDRA BRITADA N.1 E PEDRA BRITADA N.2), APLICADO EM PISOS OU LAJES SOBRE SOLO, ESPESSURA DE *10 CM*. AF_01/2024</t>
  </si>
  <si>
    <t>4.3</t>
  </si>
  <si>
    <t xml:space="preserve"> 73817/001 </t>
  </si>
  <si>
    <t>EMBASAMENTO DE MATERIAL GRANULAR - PO DE PEDRA</t>
  </si>
  <si>
    <t>4.4</t>
  </si>
  <si>
    <t xml:space="preserve"> I9149 </t>
  </si>
  <si>
    <t>GRAMA SINTÉTICA ESPORTIVA PARA FUTEBOL EM POLIETILENO, COM ALTURA MINIMA DE 50MM, INCLUSO FORNECIMENTO E MONTAGEM, FRETE, GRANULO DE PNEU MAIS AREIA PARA AMORTECIMENTO, DEMARCAÇÃO EM GRAMA SINTETICA NA COR BRANCA, PROTEÇÃO UV E GARANTIA DE 5 ANOS</t>
  </si>
  <si>
    <t>4.5</t>
  </si>
  <si>
    <t>4.6</t>
  </si>
  <si>
    <t xml:space="preserve"> 94991 </t>
  </si>
  <si>
    <t>EXECUÇÃO DE PASSEIO (CALÇADA) OU PISO DE CONCRETO COM CONCRETO MOLDADO IN LOCO, USINADO C20, ACABAMENTO CONVENCIONAL, NÃO ARMADO. AF_08/2022</t>
  </si>
  <si>
    <t>ESTRUTURA</t>
  </si>
  <si>
    <t>5.1</t>
  </si>
  <si>
    <t>96542</t>
  </si>
  <si>
    <t>FABRICAÇÃO, MONTAGEM E DESMONTAGEM DE FÔRMA PARA VIGA BALDRAME, EM CHAPA DE MADEIRA COMPENSADA RESINADA, E=17 MM, 4 UTILIZAÇÕES. AF_01/2024</t>
  </si>
  <si>
    <t>6</t>
  </si>
  <si>
    <t>5.2</t>
  </si>
  <si>
    <t>96543</t>
  </si>
  <si>
    <t>ARMAÇÃO DE BLOCO UTILIZANDO AÇO CA-60 DE 5 MM - MONTAGEM. AF_01/2024</t>
  </si>
  <si>
    <t>KG</t>
  </si>
  <si>
    <t>5.3</t>
  </si>
  <si>
    <t>96545</t>
  </si>
  <si>
    <t>ARMAÇÃO DE BLOCO UTILIZANDO AÇO CA-50 DE 8 MM - MONTAGEM. AF_01/2024</t>
  </si>
  <si>
    <t>5.4</t>
  </si>
  <si>
    <t>96555</t>
  </si>
  <si>
    <t>CONCRETAGEM DE BLOCO DE COROAMENTO OU VIGA BALDRAME, FCK 30 MPA, COM USO DE JERICA - LANÇAMENTO, ADENSAMENTO E ACABAMENTO. AF_01/2024</t>
  </si>
  <si>
    <t>5.5</t>
  </si>
  <si>
    <t>101173</t>
  </si>
  <si>
    <t>ESTACA BROCA DE CONCRETO, DIÂMETRO DE 20CM, ESCAVAÇÃO MANUAL COM TRADO CONCHA, COM ARMADURA DE ARRANQUE. AF_05/2020</t>
  </si>
  <si>
    <t>M</t>
  </si>
  <si>
    <t>ALVENARIA E FECHAMENTO</t>
  </si>
  <si>
    <t>6.1</t>
  </si>
  <si>
    <t xml:space="preserve"> 103325 </t>
  </si>
  <si>
    <t>ALVENARIA DE VEDAÇÃO DE BLOCOS CERÂMICOS FURADOS NA VERTICAL DE 14X19X39 CM (ESPESSURA 14 CM) E ARGAMASSA DE ASSENTAMENTO COM PREPARO MANUAL. AF_12/2021</t>
  </si>
  <si>
    <t>7</t>
  </si>
  <si>
    <t>6.2</t>
  </si>
  <si>
    <t xml:space="preserve"> 102363 </t>
  </si>
  <si>
    <t>ALAMBRADO PARA QUADRA POLIESPORTIVA, ESTRUTURADO POR TUBOS DE ACO GALVANIZADO, (MONTANTES COM DIAMETRO 2", TRAVESSAS E ESCORAS COM DIÂMETRO 1 ¼"), COM TELA DE ARAME GALVANIZADO, FIO 12 BWG E MALHA QUADRADA 5X5CM (EXCETO MURETA). AF_03/2021</t>
  </si>
  <si>
    <t>6.3</t>
  </si>
  <si>
    <t xml:space="preserve"> 87902 </t>
  </si>
  <si>
    <t>CHAPISCO APLICADO EM ALVENARIA (COM PRESENÇA DE VÃOS) E ESTRUTURAS DE CONCRETO DE FACHADA, COM ROLO PARA TEXTURA ACRÍLICA. ARGAMASSA INDUSTRIALIZADA COM PREPARO MANUAL. AF_10/2022</t>
  </si>
  <si>
    <t>6.4</t>
  </si>
  <si>
    <t xml:space="preserve"> 87781 </t>
  </si>
  <si>
    <t>EMBOÇO OU MASSA ÚNICA EM ARGAMASSA TRAÇO 1:2:8, PREPARO MANUAL, APLICADA MANUALMENTE EM PANOS DE FACHADA COM PRESENÇA DE VÃOS, ESPESSURA DE 35 MM. AF_08/2022</t>
  </si>
  <si>
    <t>6.5</t>
  </si>
  <si>
    <t xml:space="preserve"> 95305 </t>
  </si>
  <si>
    <t>TEXTURA ACRÍLICA, APLICAÇÃO MANUAL EM PAREDE, UMA DEMÃO. AF_04/2023</t>
  </si>
  <si>
    <t>REVESTIMENTO</t>
  </si>
  <si>
    <t>7.1</t>
  </si>
  <si>
    <t>87878</t>
  </si>
  <si>
    <t>CHAPISCO APLICADO EM ALVENARIAS E ESTRUTURAS DE CONCRETO INTERNAS, COM COLHER DE PEDREIRO.  ARGAMASSA TRAÇO 1:3 COM PREPARO MANUAL. AF_10/2022</t>
  </si>
  <si>
    <t>8</t>
  </si>
  <si>
    <t>7.2</t>
  </si>
  <si>
    <t>87530</t>
  </si>
  <si>
    <t>MASSA ÚNICA, EM ARGAMASSA TRAÇO 1:2:8, PREPARO MANUAL, APLICADA MANUALMENTE EM PAREDES INTERNAS DE AMBIENTES COM ÁREA ENTRE 5M² E 10M², E = 17,5MM, COM TALISCAS. AF_03/2024</t>
  </si>
  <si>
    <t>PINTURA</t>
  </si>
  <si>
    <t>8.1</t>
  </si>
  <si>
    <t>104642</t>
  </si>
  <si>
    <t>PINTURA LÁTEX ACRÍLICA STANDARD, APLICAÇÃO MANUAL EM PAREDES, DUAS DEMÃOS. AF_04/2023</t>
  </si>
  <si>
    <t>9</t>
  </si>
  <si>
    <t>8.2</t>
  </si>
  <si>
    <t>100750</t>
  </si>
  <si>
    <t>PINTURA COM TINTA ALQUÍDICA DE ACABAMENTO (ESMALTE SINTÉTICO FOSCO) APLICADA A ROLO OU PINCEL SOBRE SUPERFÍCIES METÁLICAS (EXCETO PERFIL) EXECUTADO EM OBRA (POR DEMÃO). AF_01/2020</t>
  </si>
  <si>
    <t>EQUIPAMENTOS</t>
  </si>
  <si>
    <t>9.1</t>
  </si>
  <si>
    <t>CPU08</t>
  </si>
  <si>
    <t>CONJUNTO PARA FUTEBOL DE CAMPO COM PAR DE TRAVES OFICIAIS DE 5,00 X 2,20 M EM TUBO DE ACO GALVANIZADO 4", PINTURA EM PRIMER COM TINTA ESMALTE SINTETICO E REDES DE POLIETILENO FIO 3 MM - FORNECIMENTO E INSTALAÇÃO</t>
  </si>
  <si>
    <t>PAR</t>
  </si>
  <si>
    <t>10</t>
  </si>
  <si>
    <t>10.1</t>
  </si>
  <si>
    <t>97082</t>
  </si>
  <si>
    <t>11</t>
  </si>
  <si>
    <t>10.2</t>
  </si>
  <si>
    <t>97084</t>
  </si>
  <si>
    <t>10.3</t>
  </si>
  <si>
    <t>95241</t>
  </si>
  <si>
    <t>10.4</t>
  </si>
  <si>
    <t>89470</t>
  </si>
  <si>
    <t>11.1</t>
  </si>
  <si>
    <t>12</t>
  </si>
  <si>
    <t>11.2</t>
  </si>
  <si>
    <t>11.3</t>
  </si>
  <si>
    <t xml:space="preserve"> 94994 </t>
  </si>
  <si>
    <t>EXECUÇÃO DE PASSEIO (CALÇADA) OU PISO DE CONCRETO COM CONCRETO MOLDADO IN LOCO, FEITO EM OBRA, ACABAMENTO CONVENCIONAL, ESPESSURA 8 CM, ARMADO. AF_08/2022</t>
  </si>
  <si>
    <t>11.4</t>
  </si>
  <si>
    <t xml:space="preserve"> 102494 </t>
  </si>
  <si>
    <t>PINTURA DE PISO COM TINTA EPÓXI, APLICAÇÃO MANUAL, 2 DEMÃOS, INCLUSO PRIMER EPÓXI. AF_05/2021</t>
  </si>
  <si>
    <t>12.1</t>
  </si>
  <si>
    <t>CPU09</t>
  </si>
  <si>
    <t>TABELA DE BASQUETE DE COMPENSADO NAVAL, COM AROS, REDES E ESTRUTURA EM TUBO GALVANIZADO - FORNECIMENTO E INSTALAÇÃO.</t>
  </si>
  <si>
    <t>13</t>
  </si>
  <si>
    <t>13.1</t>
  </si>
  <si>
    <t>14</t>
  </si>
  <si>
    <t>13.2</t>
  </si>
  <si>
    <t>13.3</t>
  </si>
  <si>
    <t>13.4</t>
  </si>
  <si>
    <t>14.1</t>
  </si>
  <si>
    <t>100576</t>
  </si>
  <si>
    <t>15</t>
  </si>
  <si>
    <t>14.2</t>
  </si>
  <si>
    <t>14.3</t>
  </si>
  <si>
    <t>87702</t>
  </si>
  <si>
    <t>CONTRAPISO EM ARGAMASSA TRAÇO 1:4 (CIMENTO E AREIA), PREPARO MANUAL, APLICADO EM ÁREAS SECAS SOBRE LAJE, NÃO ADERIDO, ACABAMENTO NÃO REFORÇADO, ESPESSURA 6CM. AF_07/2021</t>
  </si>
  <si>
    <t>14.4</t>
  </si>
  <si>
    <t>101735</t>
  </si>
  <si>
    <t>PISO DE BORRACHA ESPORTIVO, ESPESSURA 15MM, ASSENTADO COM ARGAMASSA. AF_09/2020</t>
  </si>
  <si>
    <t>15.1</t>
  </si>
  <si>
    <t xml:space="preserve"> COMP 04 </t>
  </si>
  <si>
    <t>ESCALADA COM BALANÇO</t>
  </si>
  <si>
    <t>16</t>
  </si>
  <si>
    <t>15.2</t>
  </si>
  <si>
    <t xml:space="preserve"> COMP 05 </t>
  </si>
  <si>
    <t>GANGORRA SIMPLES</t>
  </si>
  <si>
    <t>15.3</t>
  </si>
  <si>
    <t xml:space="preserve"> COMP 06 </t>
  </si>
  <si>
    <t>CASA DO TARZAN SIMPLES COM BALANÇO</t>
  </si>
  <si>
    <t>15.4</t>
  </si>
  <si>
    <t xml:space="preserve"> COMP 07 </t>
  </si>
  <si>
    <t>BALANÇO DUPLO</t>
  </si>
  <si>
    <t>15.5</t>
  </si>
  <si>
    <t xml:space="preserve"> COMP 08 </t>
  </si>
  <si>
    <t>BANCO COM ENCOSTO</t>
  </si>
  <si>
    <t>16.1</t>
  </si>
  <si>
    <t>17</t>
  </si>
  <si>
    <t>16.2</t>
  </si>
  <si>
    <t>16.3</t>
  </si>
  <si>
    <t>17.1</t>
  </si>
  <si>
    <t>102494</t>
  </si>
  <si>
    <t>18</t>
  </si>
  <si>
    <t>17.2</t>
  </si>
  <si>
    <t>102506</t>
  </si>
  <si>
    <t>PINTURA DE DEMARCAÇÃO DE QUADRA POLIESPORTIVA COM TINTA EPÓXI, E = 5 CM, APLICAÇÃO MANUAL. AF_05/2021</t>
  </si>
  <si>
    <t>18.1</t>
  </si>
  <si>
    <t>19</t>
  </si>
  <si>
    <t>18.2</t>
  </si>
  <si>
    <t>18.3</t>
  </si>
  <si>
    <t xml:space="preserve"> 94992 </t>
  </si>
  <si>
    <t>EXECUÇÃO DE PASSEIO (CALÇADA) OU PISO DE CONCRETO COM CONCRETO MOLDADO IN LOCO, FEITO EM OBRA, ACABAMENTO CONVENCIONAL, ESPESSURA 6 CM, ARMADO. AF_08/2022</t>
  </si>
  <si>
    <t>18.4</t>
  </si>
  <si>
    <t xml:space="preserve"> 94279 </t>
  </si>
  <si>
    <t>ASSENTAMENTO DE GUIA (MEIO-FIO) EM TRECHO RETO, CONFECCIONADA EM CONCRETO PRÉ-FABRICADO, DIMENSÕES 39X6,5X6,5X19 CM (COMPRIMENTO X BASE INFERIOR X BASE SUPERIOR X ALTURA), PARA DELIMITAÇÃO DE JARDINS, PRAÇAS OU PASSEIOS. AF_01/2024</t>
  </si>
  <si>
    <t>18.5</t>
  </si>
  <si>
    <t xml:space="preserve"> 103946 </t>
  </si>
  <si>
    <t>PLANTIO DE GRAMA ESMERALDA OU SÃO CARLOS OU CURITIBANA, EM PLACAS. AF_07/2024</t>
  </si>
  <si>
    <t>ALVENARIA E FECHAMENTOS</t>
  </si>
  <si>
    <t>19.1</t>
  </si>
  <si>
    <t>20</t>
  </si>
  <si>
    <t>19.2</t>
  </si>
  <si>
    <t>19.3</t>
  </si>
  <si>
    <t>19.4</t>
  </si>
  <si>
    <t>19.5</t>
  </si>
  <si>
    <t>URBANIZAÇÃO E PAISAGISMO</t>
  </si>
  <si>
    <t>20.1</t>
  </si>
  <si>
    <t xml:space="preserve"> COMP 09 </t>
  </si>
  <si>
    <t>FUTMESA</t>
  </si>
  <si>
    <t>21</t>
  </si>
  <si>
    <t>20.2</t>
  </si>
  <si>
    <t>20.3</t>
  </si>
  <si>
    <t xml:space="preserve"> COMP 10 </t>
  </si>
  <si>
    <t>LIXEIRAS</t>
  </si>
  <si>
    <t>20.4</t>
  </si>
  <si>
    <t xml:space="preserve"> 103315 </t>
  </si>
  <si>
    <t>INSTALAÇÃO DE PERGOLADO DE MADEIRA, EM MAÇARANDUBA, ANGELIM OU EQUIVALENTE DA REGIÃO, FIXADO COM CONCRETO SOBRE SOLO. AF_11/2021</t>
  </si>
  <si>
    <t>20.5</t>
  </si>
  <si>
    <t xml:space="preserve"> 98509 </t>
  </si>
  <si>
    <t>PLANTIO DE ARBUSTO OU CERCA VIVA. AF_07/2024</t>
  </si>
  <si>
    <t>20.6</t>
  </si>
  <si>
    <t xml:space="preserve"> 98510 </t>
  </si>
  <si>
    <t>PLANTIO DE ÁRVORE ORNAMENTAL COM ALTURA DE MUDA MENOR OU IGUAL A 2,00 M . AF_07/2024</t>
  </si>
  <si>
    <t>20.7</t>
  </si>
  <si>
    <t xml:space="preserve"> 98511 </t>
  </si>
  <si>
    <t>PLANTIO DE ÁRVORE ORNAMENTAL COM ALTURA DE MUDA MAIOR QUE 2,00 M E MENOR OU IGUAL A 4,00 M . AF_07/2024</t>
  </si>
  <si>
    <t>INSTALAÇÕES ELÉTRICAS</t>
  </si>
  <si>
    <t>21.1</t>
  </si>
  <si>
    <t>95728</t>
  </si>
  <si>
    <t>ELETRODUTO RÍGIDO SOLDÁVEL, PVC, DN 32 MM (1"), APARENTE - FORNECIMENTO E INSTALAÇÃO. AF_10/2022_PA</t>
  </si>
  <si>
    <t>22</t>
  </si>
  <si>
    <t>21.2</t>
  </si>
  <si>
    <t>97667</t>
  </si>
  <si>
    <t>ELETRODUTO FLEXÍVEL CORRUGADO, PEAD, DN 50 (1 1/2"), PARA REDE ENTERRADA DE DISTRIBUIÇÃO DE ENERGIA ELÉTRICA - FORNECIMENTO E INSTALAÇÃO. AF_12/2021</t>
  </si>
  <si>
    <t>21.3</t>
  </si>
  <si>
    <t>97668</t>
  </si>
  <si>
    <t>ELETRODUTO FLEXÍVEL CORRUGADO, PEAD, DN 63 (2"), PARA REDE ENTERRADA DE DISTRIBUIÇÃO DE ENERGIA ELÉTRICA - FORNECIMENTO E INSTALAÇÃO. AF_12/2021</t>
  </si>
  <si>
    <t>21.4</t>
  </si>
  <si>
    <t>21.5</t>
  </si>
  <si>
    <t>91917</t>
  </si>
  <si>
    <t>CURVA 90 GRAUS PARA ELETRODUTO, PVC, ROSCÁVEL, DN 32 MM (1"), PARA CIRCUITOS TERMINAIS, INSTALADA EM PAREDE - FORNECIMENTO E INSTALAÇÃO. AF_03/2023</t>
  </si>
  <si>
    <t>21.6</t>
  </si>
  <si>
    <t>91927</t>
  </si>
  <si>
    <t>CABO DE COBRE FLEXÍVEL ISOLADO, 2,5 MM², ANTI-CHAMA 0,6/1,0 KV, PARA CIRCUITOS TERMINAIS - FORNECIMENTO E INSTALAÇÃO. AF_03/2023</t>
  </si>
  <si>
    <t>21.7</t>
  </si>
  <si>
    <t>91929</t>
  </si>
  <si>
    <t>CABO DE COBRE FLEXÍVEL ISOLADO, 4 MM², ANTI-CHAMA 0,6/1,0 KV, PARA CIRCUITOS TERMINAIS - FORNECIMENTO E INSTALAÇÃO. AF_03/2023</t>
  </si>
  <si>
    <t>21.8</t>
  </si>
  <si>
    <t>91931</t>
  </si>
  <si>
    <t>CABO DE COBRE FLEXÍVEL ISOLADO, 6 MM², ANTI-CHAMA 0,6/1,0 KV, PARA CIRCUITOS TERMINAIS - FORNECIMENTO E INSTALAÇÃO. AF_03/2023</t>
  </si>
  <si>
    <t>21.9</t>
  </si>
  <si>
    <t>91933</t>
  </si>
  <si>
    <t>CABO DE COBRE FLEXÍVEL ISOLADO, 10 MM², ANTI-CHAMA 0,6/1,0 KV, PARA CIRCUITOS TERMINAIS - FORNECIMENTO E INSTALAÇÃO. AF_03/2023</t>
  </si>
  <si>
    <t>21.10</t>
  </si>
  <si>
    <t>92982</t>
  </si>
  <si>
    <t>CABO DE COBRE FLEXÍVEL ISOLADO, 16 MM², ANTI-CHAMA 0,6/1,0 KV, PARA DISTRIBUIÇÃO - FORNECIMENTO E INSTALAÇÃO. AF_10/2020</t>
  </si>
  <si>
    <t>21.11</t>
  </si>
  <si>
    <t>11965</t>
  </si>
  <si>
    <t>CONDULETE EM ALUMÍNIO TIPO "C" DE 1"</t>
  </si>
  <si>
    <t>21.12</t>
  </si>
  <si>
    <t>CONDULETE EM ALUMÍNIO TIPO "E" DE 1" - COPIA DA ORSE (9424)</t>
  </si>
  <si>
    <t>21.13</t>
  </si>
  <si>
    <t>9424</t>
  </si>
  <si>
    <t>CONDULETE EM ALUMÍNIO TIPO "T" DE 1"</t>
  </si>
  <si>
    <t>21.14</t>
  </si>
  <si>
    <t>CPU10</t>
  </si>
  <si>
    <t>ENTRADA DE ENERGIA ELÉTRICA, AÉREA, TRIFÁSICA, COM CAIXA DE SOBREPOR, CABO DE 16 MM2 E DISJUNTOR DIN 70A (INCLUINDO POSTE DE CONCRETO)</t>
  </si>
  <si>
    <t>21.15</t>
  </si>
  <si>
    <t>101883</t>
  </si>
  <si>
    <t>QUADRO DE DISTRIBUIÇÃO DE ENERGIA EM CHAPA DE AÇO GALVANIZADO, DE EMBUTIR, COM BARRAMENTO TRIFÁSICO, PARA 18 DISJUNTORES DIN 100A - FORNECIMENTO E INSTALAÇÃO. AF_10/2020</t>
  </si>
  <si>
    <t>21.16</t>
  </si>
  <si>
    <t>93654</t>
  </si>
  <si>
    <t>DISJUNTOR MONOPOLAR TIPO DIN, CORRENTE NOMINAL DE 16A - FORNECIMENTO E INSTALAÇÃO. AF_10/2020</t>
  </si>
  <si>
    <t>21.17</t>
  </si>
  <si>
    <t>93655</t>
  </si>
  <si>
    <t>DISJUNTOR MONOPOLAR TIPO DIN, CORRENTE NOMINAL DE 20A - FORNECIMENTO E INSTALAÇÃO. AF_10/2020</t>
  </si>
  <si>
    <t>21.18</t>
  </si>
  <si>
    <t>93670</t>
  </si>
  <si>
    <t>DISJUNTOR TRIPOLAR TIPO DIN, CORRENTE NOMINAL DE 25A - FORNECIMENTO E INSTALAÇÃO. AF_10/2020</t>
  </si>
  <si>
    <t>21.19</t>
  </si>
  <si>
    <t>8894</t>
  </si>
  <si>
    <t>DISPOSITIVO DE PROTEÇÃO CONTRA SURTO DE TENSÃO DPS 40KA - 175V</t>
  </si>
  <si>
    <t>21.20</t>
  </si>
  <si>
    <t>96974</t>
  </si>
  <si>
    <t>CORDOALHA DE COBRE NU 50 MM², NÃO ENTERRADA, COM ISOLADOR - FORNECIMENTO E INSTALAÇÃO. AF_08/2023</t>
  </si>
  <si>
    <t>21.21</t>
  </si>
  <si>
    <t>96986</t>
  </si>
  <si>
    <t>HASTE DE ATERRAMENTO, DIÂMETRO 3/4", COM 3 METROS - FORNECIMENTO E INSTALAÇÃO. AF_08/2023</t>
  </si>
  <si>
    <t>21.22</t>
  </si>
  <si>
    <t>98111</t>
  </si>
  <si>
    <t>CAIXA DE INSPEÇÃO PARA ATERRAMENTO, CIRCULAR, EM POLIETILENO, DIÂMETRO INTERNO = 0,3 M. AF_12/2020</t>
  </si>
  <si>
    <t>21.23</t>
  </si>
  <si>
    <t>101632</t>
  </si>
  <si>
    <t>RELÉ FOTOELÉTRICO PARA COMANDO DE ILUMINAÇÃO EXTERNA 1000 W - FORNECIMENTO E INSTALAÇÃO. AF_08/2020</t>
  </si>
  <si>
    <t>21.24</t>
  </si>
  <si>
    <t>13148</t>
  </si>
  <si>
    <t>REFLETOR SLIM LED 100W DE POTÊNCIA, BRANCO FRIO, 6500K, AUTOVOLT, MARCA GLIGHT OU SIMILAR</t>
  </si>
  <si>
    <t>21.25</t>
  </si>
  <si>
    <t>97886</t>
  </si>
  <si>
    <t>CAIXA ENTERRADA ELÉTRICA RETANGULAR, EM ALVENARIA COM TIJOLOS CERÂMICOS MACIÇOS, FUNDO COM BRITA, DIMENSÕES INTERNAS: 0,3X0,3X0,3 M. AF_12/2020</t>
  </si>
  <si>
    <t>21.26</t>
  </si>
  <si>
    <t>CPU11</t>
  </si>
  <si>
    <t>POSTE EM CONCRETO ARMADO SEÇÃO CIRCULAR 200/10, TIPO C-14 COM 3 REFLETORES EM LED 200W FIXADOS EM CRUZETA DE CONCRETO - FORNECIMENTO E INSTALAÇÃO - COPIA DA ORSE (8371)</t>
  </si>
  <si>
    <t>INSTALAÇÕES HIDRÁULICAS</t>
  </si>
  <si>
    <t>22.1</t>
  </si>
  <si>
    <t>89356</t>
  </si>
  <si>
    <t>TUBO, PVC, SOLDÁVEL, DE 25MM, INSTALADO EM RAMAL OU SUB-RAMAL DE ÁGUA - FORNECIMENTO E INSTALAÇÃO. AF_06/2022</t>
  </si>
  <si>
    <t>23</t>
  </si>
  <si>
    <t>22.2</t>
  </si>
  <si>
    <t>89357</t>
  </si>
  <si>
    <t>TUBO, PVC, SOLDÁVEL, DE 32MM, INSTALADO EM RAMAL OU SUB-RAMAL DE ÁGUA - FORNECIMENTO E INSTALAÇÃO. AF_06/2022</t>
  </si>
  <si>
    <t>22.3</t>
  </si>
  <si>
    <t>89362</t>
  </si>
  <si>
    <t>JOELHO 90 GRAUS, PVC, SOLDÁVEL, DN 25MM, INSTALADO EM RAMAL OU SUB-RAMAL DE ÁGUA - FORNECIMENTO E INSTALAÇÃO. AF_06/2022</t>
  </si>
  <si>
    <t>22.4</t>
  </si>
  <si>
    <t>89366</t>
  </si>
  <si>
    <t>JOELHO 90 GRAUS COM BUCHA DE LATÃO, PVC, SOLDÁVEL, DN 25MM, X 3/4  INSTALADO EM RAMAL OU SUB-RAMAL DE ÁGUA - FORNECIMENTO E INSTALAÇÃO. AF_06/2022</t>
  </si>
  <si>
    <t>22.5</t>
  </si>
  <si>
    <t>89364</t>
  </si>
  <si>
    <t>CURVA 90 GRAUS, PVC, SOLDÁVEL, DN 25MM, INSTALADO EM RAMAL OU SUB-RAMAL DE ÁGUA - FORNECIMENTO E INSTALAÇÃO. AF_06/2022</t>
  </si>
  <si>
    <t>22.6</t>
  </si>
  <si>
    <t>89400</t>
  </si>
  <si>
    <t>TÊ DE REDUÇÃO, PVC, SOLDÁVEL, DN 32MM X 25MM, INSTALADO EM RAMAL OU SUB-RAMAL DE ÁGUA - FORNECIMENTO E INSTALAÇÃO. AF_06/2022</t>
  </si>
  <si>
    <t>22.7</t>
  </si>
  <si>
    <t>89380</t>
  </si>
  <si>
    <t>LUVA DE REDUÇÃO, PVC, SOLDÁVEL, DN 32MM X 25MM, INSTALADO EM RAMAL OU SUB-RAMAL DE ÁGUA - FORNECIMENTO E INSTALAÇÃO. AF_06/2022</t>
  </si>
  <si>
    <t>22.8</t>
  </si>
  <si>
    <t>86913</t>
  </si>
  <si>
    <t>TORNEIRA CROMADA 1/2" OU 3/4" PARA TANQUE, PADRÃO POPULAR - FORNECIMENTO E INSTALAÇÃO. AF_01/2020</t>
  </si>
  <si>
    <t>DRENAGEM</t>
  </si>
  <si>
    <t>23.1</t>
  </si>
  <si>
    <t>89512</t>
  </si>
  <si>
    <t>TUBO PVC, SÉRIE R, ÁGUA PLUVIAL, DN 100 MM, FORNECIDO E INSTALADO EM RAMAL DE ENCAMINHAMENTO. AF_06/2022</t>
  </si>
  <si>
    <t>24</t>
  </si>
  <si>
    <t>23.2</t>
  </si>
  <si>
    <t>102711</t>
  </si>
  <si>
    <t>JUNÇÃO DUPLA DE PVC, SÉRIE NORMAL, PARA ESGOTO PREDIAL, DN 100 X 100 X 100 MM, INSTALADA EM DRENO  - FORNECIMENTO E INSTALAÇÃO. AF_07/2021</t>
  </si>
  <si>
    <t>23.3</t>
  </si>
  <si>
    <t>8231</t>
  </si>
  <si>
    <t>CAIXA EM CONCRETO PRE-MOLDADO, 80X40X40CM, COM GRELHA DE FERRO</t>
  </si>
  <si>
    <t>23.4</t>
  </si>
  <si>
    <t>CPU13</t>
  </si>
  <si>
    <t>DRENO ESPINHA DE PEIXE (SEÇÃO (0,40 X 0,20 M), COM TUBO DE PEAD CORRUGADO PERFURADO, DN 100 MM, ENCHIMENTO COM BRITA, ENVOLVIDO COM MANTA GEOTÊXTIL, INCLUSIVE CONEXÕES. - COPIA DA SINAPI (102690)</t>
  </si>
  <si>
    <t>Total:</t>
  </si>
  <si>
    <t>Valor não utilizado (QCI):</t>
  </si>
  <si>
    <t>Número</t>
  </si>
  <si>
    <t>Parcela</t>
  </si>
  <si>
    <t>Percentual Parcela</t>
  </si>
  <si>
    <t>Bancos</t>
  </si>
  <si>
    <t>B.D.I.</t>
  </si>
  <si>
    <t>Encargos Sociais</t>
  </si>
  <si>
    <t xml:space="preserve">SINAPI - 08/2025 - Alagoas
SICRO3 - 07/2025 - Alagoas
ORSE - 08/2025 - Sergipe
SEINFRA - 028 - Ceará
</t>
  </si>
  <si>
    <t>27,53%</t>
  </si>
  <si>
    <t>Desonerado: embutido nos preços unitário dos insumos de mão de obra, de acordo com as bases.</t>
  </si>
  <si>
    <t>OBJETO:</t>
  </si>
  <si>
    <t xml:space="preserve">   C.T.: </t>
  </si>
  <si>
    <t>ART:</t>
  </si>
  <si>
    <t>Construção de Praças Urbanas, Rodovias, Ferrovias e recapeamento e pavimentação de vias urbanas</t>
  </si>
  <si>
    <t>R</t>
  </si>
  <si>
    <t>TIPO DE OBRA DO EMPREENDIMENTO</t>
  </si>
  <si>
    <t>DESONERAÇÃO</t>
  </si>
  <si>
    <t>DF</t>
  </si>
  <si>
    <t>Construção e Reforma de Edifícios</t>
  </si>
  <si>
    <t>L</t>
  </si>
  <si>
    <t>BDI PAD</t>
  </si>
  <si>
    <t>Conforme legislação tributária municipal, definir estimativa de percentual da base de cálculo para o ISS:</t>
  </si>
  <si>
    <t>Construção de Redes de Abastecimento de Água, Coleta de Esgoto</t>
  </si>
  <si>
    <t>AC</t>
  </si>
  <si>
    <t>Sobre a base de cálculo, definir a respectiva alíquota do ISS (entre 2% e 5%):</t>
  </si>
  <si>
    <t>SG</t>
  </si>
  <si>
    <t>Itens</t>
  </si>
  <si>
    <t>Siglas</t>
  </si>
  <si>
    <t>% Adotado</t>
  </si>
  <si>
    <t>Situação</t>
  </si>
  <si>
    <t>1º Quartil</t>
  </si>
  <si>
    <t>Médio</t>
  </si>
  <si>
    <t>3º Quartil</t>
  </si>
  <si>
    <t>-</t>
  </si>
  <si>
    <t>Construção e Manutenção de Estações e Redes de Distribuição de Energia Elétrica</t>
  </si>
  <si>
    <t>Tributos (impostos COFINS 3%, e  PIS 0,65%)</t>
  </si>
  <si>
    <t>CP</t>
  </si>
  <si>
    <t>Tributos (ISS, variável de acordo com o município)</t>
  </si>
  <si>
    <t>ISS</t>
  </si>
  <si>
    <t>Tributos (Contribuição Previdenciária sobre a Receita Bruta - 0% ou 4,5% - Desoneração)</t>
  </si>
  <si>
    <t>CPRB</t>
  </si>
  <si>
    <t>BDI SEM desoneração
(Fórmula Acórdão TCU)</t>
  </si>
  <si>
    <t>Obras Portuárias, Marítimas e Fluviais</t>
  </si>
  <si>
    <t>BDI COM desoneração</t>
  </si>
  <si>
    <t>BDI DES</t>
  </si>
  <si>
    <t>pedir anexo</t>
  </si>
  <si>
    <t>anexo apresentado</t>
  </si>
  <si>
    <t>Os valores de BDI foram calculados com o emprego da fórmula:</t>
  </si>
  <si>
    <t xml:space="preserve"> - 1</t>
  </si>
  <si>
    <t>Fornecimento de Materiais e Equipamentos (aquisição indireta - em conjunto com licitação de obras)</t>
  </si>
  <si>
    <t>Fornecimento de Materiais e Equipamentos (aquisição direta)</t>
  </si>
  <si>
    <t>Estudos e Projetos, Planos e Gerenciamento e outros correlatos</t>
  </si>
  <si>
    <t>ORÇAMENTO ESTIMADO</t>
  </si>
  <si>
    <t>Qtd. (valor solicitado 50%)</t>
  </si>
  <si>
    <t>CURVA ABC (SOLICITAÇÃO TÉCNICO-OPERACIONAL E TÉCNICO-PROFISSIONAL)</t>
  </si>
  <si>
    <t>CONTRATAÇÃO DE EMPRESA ESPECIALIZADA DE ENGENHARIA PARA CONSTRUÇÃO DE ESPAÇO ESPORTIVO COMUNITÁRIO TIPO B DO PROGRAMA DE ACELERAÇÃO DO CRESCIMENTO (PAC) / MINISTÉRIO DO ESPORTE, A SER IMPLANTADO NA CIDADE DE MARAGOGI-AL, NO LOTEAMENTO PORTAL DE MARAGOGI.</t>
  </si>
  <si>
    <t>CONTRATAÇÃO DE EMPRESA ESPECIALIZADA DE ENGENHARIA PARA CONSTRUÇÃO DE ESPAÇO ESPORTIVO COMUNITÁRIO TIPO B DO PROGRAMA DE ACELERAÇÃO DO CRESCIMENTO (PAC) / MINISTÉRIO DO ESPORTE, A SER IMPLANTADO NA CIDADE DE MARAGOGI-AL, NO LOTEAMENTO PORTAL DE MARAGOGI.AL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</si>
</sst>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\R\$\ #,##0.00"/>
    <numFmt numFmtId="165" formatCode="#,##0.00%"/>
    <numFmt numFmtId="166" formatCode="_(* #,##0.00_);_(* \(#,##0.00\);_(* \-??_);_(@_)"/>
    <numFmt numFmtId="167" formatCode="_(&quot;R$ &quot;* #,##0.00_);_(&quot;R$ &quot;* \(#,##0.00\);_(&quot;R$ &quot;* &quot;-&quot;??_);_(@_)"/>
  </numFmts>
  <fonts count="101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indexed="9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1"/>
      <color indexed="8"/>
      <name val="Calibri"/>
      <family val="2"/>
      <scheme val="minor"/>
    </font>
    <font>
      <b/>
      <sz val="12"/>
      <name val="Times New Roman"/>
      <family val="1"/>
    </font>
    <font>
      <sz val="12"/>
      <color indexed="8"/>
      <name val="Times New Roman"/>
      <family val="1"/>
    </font>
    <font>
      <b/>
      <sz val="12"/>
      <color indexed="9"/>
      <name val="Times New Roman"/>
      <family val="1"/>
    </font>
    <font>
      <sz val="12"/>
      <name val="Times New Roman"/>
      <family val="1"/>
    </font>
    <font>
      <b/>
      <sz val="12"/>
      <color indexed="8"/>
      <name val="Times New Roman"/>
      <family val="1"/>
    </font>
    <font>
      <sz val="10"/>
      <name val="Arial"/>
      <family val="2"/>
    </font>
    <font>
      <b/>
      <sz val="12"/>
      <name val="Arial"/>
      <family val="2"/>
    </font>
    <font>
      <b/>
      <sz val="11"/>
      <color rgb="FF000000"/>
      <name val="Arial"/>
      <family val="2"/>
    </font>
    <font>
      <b/>
      <sz val="12"/>
      <color rgb="FF000000"/>
      <name val="Arial"/>
      <family val="2"/>
    </font>
    <font>
      <b/>
      <sz val="10"/>
      <name val="Arial"/>
      <family val="2"/>
    </font>
    <font>
      <b/>
      <sz val="10"/>
      <color indexed="12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b/>
      <sz val="20"/>
      <color indexed="10"/>
      <name val="Arial"/>
      <family val="2"/>
    </font>
    <font>
      <sz val="11"/>
      <name val="Arial"/>
      <family val="2"/>
    </font>
    <font>
      <b/>
      <sz val="12"/>
      <color indexed="10"/>
      <name val="Arial"/>
      <family val="2"/>
    </font>
    <font>
      <sz val="11"/>
      <color indexed="9"/>
      <name val="Arial"/>
      <family val="2"/>
    </font>
    <font>
      <b/>
      <sz val="11"/>
      <color indexed="12"/>
      <name val="Arial"/>
      <family val="2"/>
    </font>
    <font>
      <b/>
      <sz val="18"/>
      <name val="Arial"/>
      <family val="2"/>
    </font>
    <font>
      <i/>
      <sz val="12"/>
      <name val="Calibri"/>
      <family val="2"/>
    </font>
    <font>
      <i/>
      <u/>
      <sz val="12"/>
      <name val="Calibri"/>
      <family val="2"/>
    </font>
    <font>
      <u/>
      <sz val="10"/>
      <name val="Arial"/>
      <family val="2"/>
    </font>
    <font>
      <sz val="12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bgColor indexed="49"/>
      </patternFill>
    </fill>
    <fill>
      <patternFill patternType="none"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77" fillId="0" borderId="0" applyFont="0" applyFill="0" applyBorder="0" applyAlignment="0" applyProtection="0"/>
    <xf numFmtId="0" fontId="83" fillId="3" borderId="1"/>
    <xf numFmtId="0" fontId="1" fillId="3" borderId="1"/>
    <xf numFmtId="0" fontId="89" fillId="3" borderId="1"/>
    <xf numFmtId="167" fontId="83" fillId="3" borderId="1" applyFont="0" applyFill="0" applyBorder="0" applyAlignment="0" applyProtection="0"/>
  </cellStyleXfs>
  <cellXfs count="193">
    <xf numFmtId="0" fontId="0" fillId="0" borderId="0" xfId="0"/>
    <xf numFmtId="0" fontId="2" fillId="2" borderId="0" xfId="0" applyFont="1" applyFill="1" applyAlignment="1">
      <alignment horizontal="center"/>
    </xf>
    <xf numFmtId="0" fontId="3" fillId="0" borderId="0" xfId="0" applyFont="1" applyAlignment="1">
      <alignment horizontal="center" vertical="center" wrapText="1"/>
    </xf>
    <xf numFmtId="165" fontId="4" fillId="0" borderId="0" xfId="0" applyNumberFormat="1" applyFont="1" applyAlignment="1">
      <alignment horizontal="center" vertical="center" wrapText="1"/>
    </xf>
    <xf numFmtId="165" fontId="5" fillId="0" borderId="0" xfId="0" applyNumberFormat="1" applyFont="1" applyAlignment="1">
      <alignment horizontal="center" vertical="center" wrapText="1"/>
    </xf>
    <xf numFmtId="165" fontId="6" fillId="0" borderId="0" xfId="0" applyNumberFormat="1" applyFont="1" applyAlignment="1">
      <alignment horizontal="center" vertical="center" wrapText="1"/>
    </xf>
    <xf numFmtId="165" fontId="7" fillId="0" borderId="0" xfId="0" applyNumberFormat="1" applyFont="1" applyAlignment="1">
      <alignment horizontal="center" vertical="center" wrapText="1"/>
    </xf>
    <xf numFmtId="165" fontId="8" fillId="0" borderId="0" xfId="0" applyNumberFormat="1" applyFont="1" applyAlignment="1">
      <alignment horizontal="center" vertical="center" wrapText="1"/>
    </xf>
    <xf numFmtId="165" fontId="9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165" fontId="11" fillId="0" borderId="0" xfId="0" applyNumberFormat="1" applyFont="1" applyAlignment="1">
      <alignment horizontal="center" vertical="center" wrapText="1"/>
    </xf>
    <xf numFmtId="165" fontId="12" fillId="0" borderId="0" xfId="0" applyNumberFormat="1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165" fontId="14" fillId="0" borderId="0" xfId="0" applyNumberFormat="1" applyFont="1" applyAlignment="1">
      <alignment horizontal="center" vertical="center" wrapText="1"/>
    </xf>
    <xf numFmtId="165" fontId="15" fillId="0" borderId="0" xfId="0" applyNumberFormat="1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165" fontId="17" fillId="0" borderId="0" xfId="0" applyNumberFormat="1" applyFont="1" applyAlignment="1">
      <alignment horizontal="center" vertical="center" wrapText="1"/>
    </xf>
    <xf numFmtId="165" fontId="18" fillId="0" borderId="0" xfId="0" applyNumberFormat="1" applyFont="1" applyAlignment="1">
      <alignment horizontal="center" vertical="center" wrapText="1"/>
    </xf>
    <xf numFmtId="165" fontId="19" fillId="0" borderId="0" xfId="0" applyNumberFormat="1" applyFont="1" applyAlignment="1">
      <alignment horizontal="center" vertical="center" wrapText="1"/>
    </xf>
    <xf numFmtId="165" fontId="20" fillId="0" borderId="0" xfId="0" applyNumberFormat="1" applyFont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165" fontId="22" fillId="0" borderId="0" xfId="0" applyNumberFormat="1" applyFont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165" fontId="24" fillId="0" borderId="0" xfId="0" applyNumberFormat="1" applyFont="1" applyAlignment="1">
      <alignment horizontal="center" vertical="center" wrapText="1"/>
    </xf>
    <xf numFmtId="165" fontId="25" fillId="0" borderId="0" xfId="0" applyNumberFormat="1" applyFont="1" applyAlignment="1">
      <alignment horizontal="center" vertical="center" wrapText="1"/>
    </xf>
    <xf numFmtId="165" fontId="26" fillId="0" borderId="0" xfId="0" applyNumberFormat="1" applyFont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165" fontId="28" fillId="0" borderId="0" xfId="0" applyNumberFormat="1" applyFont="1" applyAlignment="1">
      <alignment horizontal="center" vertical="center" wrapText="1"/>
    </xf>
    <xf numFmtId="165" fontId="29" fillId="0" borderId="0" xfId="0" applyNumberFormat="1" applyFont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165" fontId="31" fillId="0" borderId="0" xfId="0" applyNumberFormat="1" applyFont="1" applyAlignment="1">
      <alignment horizontal="center" vertical="center" wrapText="1"/>
    </xf>
    <xf numFmtId="165" fontId="32" fillId="0" borderId="0" xfId="0" applyNumberFormat="1" applyFont="1" applyAlignment="1">
      <alignment horizontal="center" vertical="center" wrapText="1"/>
    </xf>
    <xf numFmtId="165" fontId="33" fillId="0" borderId="0" xfId="0" applyNumberFormat="1" applyFont="1" applyAlignment="1">
      <alignment horizontal="center" vertical="center" wrapText="1"/>
    </xf>
    <xf numFmtId="0" fontId="34" fillId="0" borderId="0" xfId="0" applyFont="1" applyAlignment="1">
      <alignment horizontal="center" vertical="center" wrapText="1"/>
    </xf>
    <xf numFmtId="165" fontId="35" fillId="0" borderId="0" xfId="0" applyNumberFormat="1" applyFont="1" applyAlignment="1">
      <alignment horizontal="center" vertical="center" wrapText="1"/>
    </xf>
    <xf numFmtId="0" fontId="36" fillId="0" borderId="0" xfId="0" applyFont="1" applyAlignment="1">
      <alignment horizontal="center" vertical="center" wrapText="1"/>
    </xf>
    <xf numFmtId="165" fontId="37" fillId="0" borderId="0" xfId="0" applyNumberFormat="1" applyFont="1" applyAlignment="1">
      <alignment horizontal="center" vertical="center" wrapText="1"/>
    </xf>
    <xf numFmtId="0" fontId="38" fillId="0" borderId="0" xfId="0" applyFont="1" applyAlignment="1">
      <alignment horizontal="center" vertical="center" wrapText="1"/>
    </xf>
    <xf numFmtId="165" fontId="39" fillId="0" borderId="0" xfId="0" applyNumberFormat="1" applyFont="1" applyAlignment="1">
      <alignment horizontal="center" vertical="center" wrapText="1"/>
    </xf>
    <xf numFmtId="165" fontId="40" fillId="0" borderId="0" xfId="0" applyNumberFormat="1" applyFont="1" applyAlignment="1">
      <alignment horizontal="center" vertical="center" wrapText="1"/>
    </xf>
    <xf numFmtId="0" fontId="41" fillId="0" borderId="0" xfId="0" applyFont="1" applyAlignment="1">
      <alignment horizontal="center" vertical="center" wrapText="1"/>
    </xf>
    <xf numFmtId="165" fontId="42" fillId="0" borderId="0" xfId="0" applyNumberFormat="1" applyFont="1" applyAlignment="1">
      <alignment horizontal="center" vertical="center" wrapText="1"/>
    </xf>
    <xf numFmtId="0" fontId="43" fillId="0" borderId="0" xfId="0" applyFont="1" applyAlignment="1">
      <alignment horizontal="center" vertical="center" wrapText="1"/>
    </xf>
    <xf numFmtId="165" fontId="44" fillId="0" borderId="0" xfId="0" applyNumberFormat="1" applyFont="1" applyAlignment="1">
      <alignment horizontal="center" vertical="center" wrapText="1"/>
    </xf>
    <xf numFmtId="0" fontId="45" fillId="0" borderId="0" xfId="0" applyFont="1" applyAlignment="1">
      <alignment horizontal="center" vertical="center" wrapText="1"/>
    </xf>
    <xf numFmtId="165" fontId="46" fillId="0" borderId="0" xfId="0" applyNumberFormat="1" applyFont="1" applyAlignment="1">
      <alignment horizontal="center" vertical="center" wrapText="1"/>
    </xf>
    <xf numFmtId="165" fontId="47" fillId="0" borderId="0" xfId="0" applyNumberFormat="1" applyFont="1" applyAlignment="1">
      <alignment horizontal="center" vertical="center" wrapText="1"/>
    </xf>
    <xf numFmtId="0" fontId="48" fillId="0" borderId="0" xfId="0" applyFont="1" applyAlignment="1">
      <alignment horizontal="center" vertical="center" wrapText="1"/>
    </xf>
    <xf numFmtId="165" fontId="49" fillId="0" borderId="0" xfId="0" applyNumberFormat="1" applyFont="1" applyAlignment="1">
      <alignment horizontal="center" vertical="center" wrapText="1"/>
    </xf>
    <xf numFmtId="165" fontId="50" fillId="0" borderId="0" xfId="0" applyNumberFormat="1" applyFont="1" applyAlignment="1">
      <alignment horizontal="center" vertical="center" wrapText="1"/>
    </xf>
    <xf numFmtId="165" fontId="51" fillId="0" borderId="0" xfId="0" applyNumberFormat="1" applyFont="1" applyAlignment="1">
      <alignment horizontal="center" vertical="center" wrapText="1"/>
    </xf>
    <xf numFmtId="0" fontId="52" fillId="0" borderId="0" xfId="0" applyFont="1" applyAlignment="1">
      <alignment horizontal="center" vertical="center" wrapText="1"/>
    </xf>
    <xf numFmtId="165" fontId="53" fillId="0" borderId="0" xfId="0" applyNumberFormat="1" applyFont="1" applyAlignment="1">
      <alignment horizontal="center" vertical="center" wrapText="1"/>
    </xf>
    <xf numFmtId="0" fontId="54" fillId="0" borderId="0" xfId="0" applyFont="1" applyAlignment="1">
      <alignment horizontal="center" vertical="center" wrapText="1"/>
    </xf>
    <xf numFmtId="165" fontId="55" fillId="0" borderId="0" xfId="0" applyNumberFormat="1" applyFont="1" applyAlignment="1">
      <alignment horizontal="center" vertical="center" wrapText="1"/>
    </xf>
    <xf numFmtId="165" fontId="56" fillId="0" borderId="0" xfId="0" applyNumberFormat="1" applyFont="1" applyAlignment="1">
      <alignment horizontal="center" vertical="center" wrapText="1"/>
    </xf>
    <xf numFmtId="0" fontId="57" fillId="0" borderId="0" xfId="0" applyFont="1" applyAlignment="1">
      <alignment horizontal="center" vertical="center" wrapText="1"/>
    </xf>
    <xf numFmtId="165" fontId="58" fillId="0" borderId="0" xfId="0" applyNumberFormat="1" applyFont="1" applyAlignment="1">
      <alignment horizontal="center" vertical="center" wrapText="1"/>
    </xf>
    <xf numFmtId="165" fontId="59" fillId="0" borderId="0" xfId="0" applyNumberFormat="1" applyFont="1" applyAlignment="1">
      <alignment horizontal="center" vertical="center" wrapText="1"/>
    </xf>
    <xf numFmtId="0" fontId="60" fillId="0" borderId="0" xfId="0" applyFont="1" applyAlignment="1">
      <alignment horizontal="center" vertical="center" wrapText="1"/>
    </xf>
    <xf numFmtId="165" fontId="61" fillId="0" borderId="0" xfId="0" applyNumberFormat="1" applyFont="1" applyAlignment="1">
      <alignment horizontal="center" vertical="center" wrapText="1"/>
    </xf>
    <xf numFmtId="165" fontId="62" fillId="0" borderId="0" xfId="0" applyNumberFormat="1" applyFont="1" applyAlignment="1">
      <alignment horizontal="center" vertical="center" wrapText="1"/>
    </xf>
    <xf numFmtId="165" fontId="63" fillId="0" borderId="0" xfId="0" applyNumberFormat="1" applyFont="1" applyAlignment="1">
      <alignment horizontal="center" vertical="center" wrapText="1"/>
    </xf>
    <xf numFmtId="0" fontId="64" fillId="0" borderId="0" xfId="0" applyFont="1" applyAlignment="1">
      <alignment horizontal="center" vertical="center" wrapText="1"/>
    </xf>
    <xf numFmtId="165" fontId="65" fillId="0" borderId="0" xfId="0" applyNumberFormat="1" applyFont="1" applyAlignment="1">
      <alignment horizontal="center" vertical="center" wrapText="1"/>
    </xf>
    <xf numFmtId="165" fontId="66" fillId="0" borderId="0" xfId="0" applyNumberFormat="1" applyFont="1" applyAlignment="1">
      <alignment horizontal="center" vertical="center" wrapText="1"/>
    </xf>
    <xf numFmtId="0" fontId="67" fillId="0" borderId="0" xfId="0" applyFont="1" applyAlignment="1">
      <alignment horizontal="center" vertical="center" wrapText="1"/>
    </xf>
    <xf numFmtId="165" fontId="68" fillId="0" borderId="0" xfId="0" applyNumberFormat="1" applyFont="1" applyAlignment="1">
      <alignment horizontal="center" vertical="center" wrapText="1"/>
    </xf>
    <xf numFmtId="165" fontId="69" fillId="0" borderId="0" xfId="0" applyNumberFormat="1" applyFont="1" applyAlignment="1">
      <alignment horizontal="center" vertical="center" wrapText="1"/>
    </xf>
    <xf numFmtId="165" fontId="70" fillId="0" borderId="0" xfId="0" applyNumberFormat="1" applyFont="1" applyAlignment="1">
      <alignment horizontal="center" vertical="center" wrapText="1"/>
    </xf>
    <xf numFmtId="165" fontId="71" fillId="0" borderId="0" xfId="0" applyNumberFormat="1" applyFont="1" applyAlignment="1">
      <alignment horizontal="center" vertical="center" wrapText="1"/>
    </xf>
    <xf numFmtId="0" fontId="72" fillId="0" borderId="0" xfId="0" applyFont="1" applyAlignment="1">
      <alignment horizontal="center" vertical="center" wrapText="1"/>
    </xf>
    <xf numFmtId="165" fontId="73" fillId="0" borderId="0" xfId="0" applyNumberFormat="1" applyFont="1" applyAlignment="1">
      <alignment horizontal="center" vertical="center" wrapText="1"/>
    </xf>
    <xf numFmtId="0" fontId="74" fillId="0" borderId="0" xfId="0" applyFont="1" applyAlignment="1">
      <alignment horizontal="center" vertical="center" wrapText="1"/>
    </xf>
    <xf numFmtId="165" fontId="75" fillId="0" borderId="0" xfId="0" applyNumberFormat="1" applyFont="1" applyAlignment="1">
      <alignment horizontal="center" vertical="center" wrapText="1"/>
    </xf>
    <xf numFmtId="165" fontId="76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/>
    <xf numFmtId="0" fontId="10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0" fontId="38" fillId="0" borderId="0" xfId="0" applyFont="1" applyAlignment="1">
      <alignment horizontal="center" vertical="center" wrapText="1"/>
    </xf>
    <xf numFmtId="0" fontId="45" fillId="0" borderId="0" xfId="0" applyFont="1" applyAlignment="1">
      <alignment horizontal="center" vertical="center" wrapText="1"/>
    </xf>
    <xf numFmtId="0" fontId="48" fillId="0" borderId="0" xfId="0" applyFont="1" applyAlignment="1">
      <alignment horizontal="center" vertical="center" wrapText="1"/>
    </xf>
    <xf numFmtId="0" fontId="54" fillId="0" borderId="0" xfId="0" applyFont="1" applyAlignment="1">
      <alignment horizontal="center" vertical="center" wrapText="1"/>
    </xf>
    <xf numFmtId="0" fontId="57" fillId="0" borderId="0" xfId="0" applyFont="1" applyAlignment="1">
      <alignment horizontal="center" vertical="center" wrapText="1"/>
    </xf>
    <xf numFmtId="0" fontId="60" fillId="0" borderId="0" xfId="0" applyFont="1" applyAlignment="1">
      <alignment horizontal="center" vertical="center" wrapText="1"/>
    </xf>
    <xf numFmtId="0" fontId="64" fillId="0" borderId="0" xfId="0" applyFont="1" applyAlignment="1">
      <alignment horizontal="center" vertical="center" wrapText="1"/>
    </xf>
    <xf numFmtId="0" fontId="67" fillId="0" borderId="0" xfId="0" applyFont="1" applyAlignment="1">
      <alignment horizontal="center" vertical="center" wrapText="1"/>
    </xf>
    <xf numFmtId="0" fontId="74" fillId="0" borderId="0" xfId="0" applyFont="1" applyAlignment="1">
      <alignment horizontal="center" vertical="center" wrapText="1"/>
    </xf>
    <xf numFmtId="0" fontId="0" fillId="4" borderId="1" xfId="0" applyFont="1" applyFill="1" applyBorder="1" applyAlignment="1">
      <alignment horizontal="center" vertical="top" wrapText="1"/>
    </xf>
    <xf numFmtId="0" fontId="0" fillId="4" borderId="1" xfId="0" applyFont="1" applyFill="1" applyBorder="1" applyAlignment="1">
      <alignment horizontal="left" vertical="top" wrapText="1"/>
    </xf>
    <xf numFmtId="0" fontId="78" fillId="4" borderId="0" xfId="0" applyFont="1" applyFill="1" applyAlignment="1">
      <alignment horizontal="left" vertical="top" wrapText="1"/>
    </xf>
    <xf numFmtId="0" fontId="78" fillId="4" borderId="0" xfId="0" applyFont="1" applyFill="1" applyAlignment="1">
      <alignment horizontal="left" vertical="top" wrapText="1"/>
    </xf>
    <xf numFmtId="0" fontId="79" fillId="0" borderId="0" xfId="0" applyFont="1"/>
    <xf numFmtId="0" fontId="78" fillId="4" borderId="1" xfId="0" applyFont="1" applyFill="1" applyBorder="1" applyAlignment="1">
      <alignment horizontal="left" vertical="top" wrapText="1"/>
    </xf>
    <xf numFmtId="0" fontId="79" fillId="0" borderId="0" xfId="0" applyFont="1" applyAlignment="1">
      <alignment horizontal="left"/>
    </xf>
    <xf numFmtId="0" fontId="78" fillId="4" borderId="1" xfId="0" applyFont="1" applyFill="1" applyBorder="1" applyAlignment="1">
      <alignment horizontal="center" vertical="top" wrapText="1"/>
    </xf>
    <xf numFmtId="0" fontId="82" fillId="0" borderId="0" xfId="0" applyFont="1" applyAlignment="1">
      <alignment horizontal="left" wrapText="1"/>
    </xf>
    <xf numFmtId="0" fontId="80" fillId="2" borderId="2" xfId="0" applyFont="1" applyFill="1" applyBorder="1" applyAlignment="1">
      <alignment horizontal="center"/>
    </xf>
    <xf numFmtId="0" fontId="80" fillId="2" borderId="2" xfId="0" applyFont="1" applyFill="1" applyBorder="1" applyAlignment="1">
      <alignment horizontal="left"/>
    </xf>
    <xf numFmtId="0" fontId="78" fillId="3" borderId="2" xfId="0" applyFont="1" applyFill="1" applyBorder="1" applyAlignment="1">
      <alignment horizontal="center" vertical="center" wrapText="1"/>
    </xf>
    <xf numFmtId="0" fontId="78" fillId="3" borderId="2" xfId="0" applyFont="1" applyFill="1" applyBorder="1" applyAlignment="1">
      <alignment horizontal="left" vertical="center" wrapText="1"/>
    </xf>
    <xf numFmtId="164" fontId="78" fillId="3" borderId="2" xfId="0" applyNumberFormat="1" applyFont="1" applyFill="1" applyBorder="1" applyAlignment="1">
      <alignment horizontal="center" vertical="center" wrapText="1"/>
    </xf>
    <xf numFmtId="0" fontId="81" fillId="0" borderId="2" xfId="0" applyFont="1" applyBorder="1" applyAlignment="1">
      <alignment horizontal="center" vertical="center" wrapText="1"/>
    </xf>
    <xf numFmtId="0" fontId="81" fillId="0" borderId="2" xfId="0" applyFont="1" applyBorder="1" applyAlignment="1">
      <alignment horizontal="left" vertical="center" wrapText="1"/>
    </xf>
    <xf numFmtId="4" fontId="81" fillId="0" borderId="2" xfId="0" applyNumberFormat="1" applyFont="1" applyBorder="1" applyAlignment="1">
      <alignment horizontal="center" vertical="center"/>
    </xf>
    <xf numFmtId="164" fontId="81" fillId="0" borderId="2" xfId="0" applyNumberFormat="1" applyFont="1" applyBorder="1" applyAlignment="1">
      <alignment horizontal="center" vertical="center"/>
    </xf>
    <xf numFmtId="165" fontId="81" fillId="0" borderId="2" xfId="0" applyNumberFormat="1" applyFont="1" applyBorder="1" applyAlignment="1">
      <alignment horizontal="center" vertical="center"/>
    </xf>
    <xf numFmtId="164" fontId="81" fillId="0" borderId="2" xfId="0" applyNumberFormat="1" applyFont="1" applyBorder="1" applyAlignment="1">
      <alignment horizontal="center" vertical="center" wrapText="1"/>
    </xf>
    <xf numFmtId="164" fontId="78" fillId="3" borderId="2" xfId="0" applyNumberFormat="1" applyFont="1" applyFill="1" applyBorder="1" applyAlignment="1">
      <alignment horizontal="center" vertical="center"/>
    </xf>
    <xf numFmtId="0" fontId="83" fillId="3" borderId="1" xfId="2"/>
    <xf numFmtId="0" fontId="84" fillId="0" borderId="2" xfId="0" applyFont="1" applyBorder="1" applyAlignment="1">
      <alignment horizontal="center" vertical="center"/>
    </xf>
    <xf numFmtId="0" fontId="85" fillId="0" borderId="2" xfId="0" applyFont="1" applyBorder="1" applyAlignment="1">
      <alignment horizontal="left" vertical="center" wrapText="1"/>
    </xf>
    <xf numFmtId="0" fontId="86" fillId="0" borderId="2" xfId="0" applyFont="1" applyBorder="1" applyAlignment="1">
      <alignment horizontal="right" vertical="center" wrapText="1"/>
    </xf>
    <xf numFmtId="0" fontId="86" fillId="0" borderId="2" xfId="0" applyFont="1" applyBorder="1" applyAlignment="1">
      <alignment horizontal="center" vertical="center" wrapText="1"/>
    </xf>
    <xf numFmtId="166" fontId="85" fillId="3" borderId="2" xfId="3" applyNumberFormat="1" applyFont="1" applyBorder="1" applyAlignment="1" applyProtection="1">
      <alignment horizontal="right" vertical="center" wrapText="1"/>
      <protection hidden="1"/>
    </xf>
    <xf numFmtId="166" fontId="85" fillId="3" borderId="2" xfId="3" applyNumberFormat="1" applyFont="1" applyBorder="1" applyAlignment="1" applyProtection="1">
      <alignment horizontal="center" vertical="center" wrapText="1"/>
      <protection hidden="1"/>
    </xf>
    <xf numFmtId="0" fontId="87" fillId="3" borderId="2" xfId="2" applyFont="1" applyBorder="1" applyAlignment="1">
      <alignment horizontal="center"/>
    </xf>
    <xf numFmtId="10" fontId="88" fillId="3" borderId="2" xfId="2" applyNumberFormat="1" applyFont="1" applyBorder="1" applyAlignment="1">
      <alignment horizontal="center"/>
    </xf>
    <xf numFmtId="0" fontId="87" fillId="3" borderId="2" xfId="4" applyFont="1" applyBorder="1" applyAlignment="1">
      <alignment horizontal="left" vertical="top"/>
    </xf>
    <xf numFmtId="167" fontId="89" fillId="5" borderId="2" xfId="5" applyFont="1" applyFill="1" applyBorder="1" applyAlignment="1" applyProtection="1">
      <alignment horizontal="left"/>
      <protection locked="0"/>
    </xf>
    <xf numFmtId="0" fontId="83" fillId="3" borderId="2" xfId="2" applyBorder="1" applyAlignment="1">
      <alignment horizontal="center" vertical="top" wrapText="1"/>
    </xf>
    <xf numFmtId="0" fontId="83" fillId="6" borderId="3" xfId="2" applyFill="1" applyBorder="1" applyAlignment="1">
      <alignment horizontal="center"/>
    </xf>
    <xf numFmtId="0" fontId="83" fillId="6" borderId="4" xfId="2" applyFill="1" applyBorder="1" applyAlignment="1">
      <alignment horizontal="center"/>
    </xf>
    <xf numFmtId="0" fontId="83" fillId="6" borderId="5" xfId="2" applyFill="1" applyBorder="1" applyAlignment="1">
      <alignment horizontal="center"/>
    </xf>
    <xf numFmtId="0" fontId="87" fillId="3" borderId="2" xfId="2" applyFont="1" applyBorder="1" applyAlignment="1">
      <alignment horizontal="center" vertical="center" wrapText="1"/>
    </xf>
    <xf numFmtId="0" fontId="89" fillId="3" borderId="2" xfId="2" applyFont="1" applyBorder="1" applyAlignment="1">
      <alignment horizontal="left" wrapText="1"/>
    </xf>
    <xf numFmtId="10" fontId="89" fillId="5" borderId="2" xfId="2" applyNumberFormat="1" applyFont="1" applyFill="1" applyBorder="1" applyAlignment="1" applyProtection="1">
      <alignment horizontal="center"/>
      <protection locked="0"/>
    </xf>
    <xf numFmtId="0" fontId="89" fillId="3" borderId="2" xfId="2" applyFont="1" applyBorder="1" applyAlignment="1">
      <alignment horizontal="left"/>
    </xf>
    <xf numFmtId="0" fontId="90" fillId="3" borderId="2" xfId="2" applyFont="1" applyBorder="1" applyAlignment="1">
      <alignment horizontal="center" vertical="center"/>
    </xf>
    <xf numFmtId="4" fontId="90" fillId="3" borderId="2" xfId="2" applyNumberFormat="1" applyFont="1" applyBorder="1" applyAlignment="1">
      <alignment horizontal="center" vertical="center" wrapText="1"/>
    </xf>
    <xf numFmtId="0" fontId="87" fillId="3" borderId="2" xfId="2" applyFont="1" applyBorder="1" applyAlignment="1">
      <alignment horizontal="center" vertical="center"/>
    </xf>
    <xf numFmtId="0" fontId="91" fillId="3" borderId="1" xfId="2" applyFont="1" applyAlignment="1">
      <alignment horizontal="center" vertical="top" wrapText="1"/>
    </xf>
    <xf numFmtId="0" fontId="91" fillId="3" borderId="1" xfId="2" applyFont="1" applyAlignment="1">
      <alignment vertical="top" wrapText="1"/>
    </xf>
    <xf numFmtId="0" fontId="83" fillId="3" borderId="2" xfId="2" applyBorder="1" applyAlignment="1">
      <alignment horizontal="left" vertical="center" wrapText="1"/>
    </xf>
    <xf numFmtId="0" fontId="92" fillId="3" borderId="2" xfId="2" applyFont="1" applyBorder="1" applyAlignment="1">
      <alignment horizontal="center" vertical="center"/>
    </xf>
    <xf numFmtId="10" fontId="92" fillId="5" borderId="2" xfId="2" applyNumberFormat="1" applyFont="1" applyFill="1" applyBorder="1" applyAlignment="1" applyProtection="1">
      <alignment horizontal="center" vertical="center"/>
      <protection locked="0"/>
    </xf>
    <xf numFmtId="4" fontId="90" fillId="3" borderId="2" xfId="2" applyNumberFormat="1" applyFont="1" applyBorder="1" applyAlignment="1">
      <alignment horizontal="center" vertical="center"/>
    </xf>
    <xf numFmtId="10" fontId="92" fillId="3" borderId="2" xfId="2" applyNumberFormat="1" applyFont="1" applyBorder="1" applyAlignment="1">
      <alignment horizontal="center" vertical="center"/>
    </xf>
    <xf numFmtId="0" fontId="83" fillId="3" borderId="2" xfId="2" applyBorder="1" applyAlignment="1">
      <alignment horizontal="left" vertical="center"/>
    </xf>
    <xf numFmtId="10" fontId="92" fillId="3" borderId="2" xfId="2" applyNumberFormat="1" applyFont="1" applyBorder="1" applyAlignment="1">
      <alignment horizontal="center" vertical="center" wrapText="1"/>
    </xf>
    <xf numFmtId="0" fontId="92" fillId="3" borderId="2" xfId="2" applyFont="1" applyBorder="1" applyAlignment="1">
      <alignment horizontal="center" vertical="center" wrapText="1"/>
    </xf>
    <xf numFmtId="0" fontId="93" fillId="3" borderId="1" xfId="2" applyFont="1" applyAlignment="1">
      <alignment wrapText="1"/>
    </xf>
    <xf numFmtId="0" fontId="94" fillId="3" borderId="2" xfId="2" applyFont="1" applyBorder="1" applyAlignment="1">
      <alignment horizontal="left" vertical="center" wrapText="1"/>
    </xf>
    <xf numFmtId="0" fontId="94" fillId="3" borderId="2" xfId="2" applyFont="1" applyBorder="1" applyAlignment="1">
      <alignment horizontal="center" vertical="center" wrapText="1"/>
    </xf>
    <xf numFmtId="10" fontId="94" fillId="3" borderId="2" xfId="2" applyNumberFormat="1" applyFont="1" applyBorder="1" applyAlignment="1">
      <alignment horizontal="center" vertical="center"/>
    </xf>
    <xf numFmtId="4" fontId="90" fillId="3" borderId="1" xfId="2" applyNumberFormat="1" applyFont="1" applyAlignment="1">
      <alignment horizontal="center" vertical="center" wrapText="1"/>
    </xf>
    <xf numFmtId="2" fontId="95" fillId="3" borderId="6" xfId="2" applyNumberFormat="1" applyFont="1" applyBorder="1" applyAlignment="1">
      <alignment horizontal="center" vertical="center"/>
    </xf>
    <xf numFmtId="0" fontId="83" fillId="3" borderId="1" xfId="2" applyProtection="1">
      <protection locked="0"/>
    </xf>
    <xf numFmtId="0" fontId="96" fillId="3" borderId="7" xfId="2" applyFont="1" applyBorder="1" applyAlignment="1">
      <alignment horizontal="center" vertical="center"/>
    </xf>
    <xf numFmtId="0" fontId="96" fillId="3" borderId="6" xfId="2" applyFont="1" applyBorder="1" applyAlignment="1">
      <alignment horizontal="center" vertical="center"/>
    </xf>
    <xf numFmtId="0" fontId="96" fillId="3" borderId="8" xfId="2" applyFont="1" applyBorder="1" applyAlignment="1">
      <alignment horizontal="center" vertical="center"/>
    </xf>
    <xf numFmtId="0" fontId="96" fillId="3" borderId="9" xfId="2" applyFont="1" applyBorder="1" applyAlignment="1">
      <alignment horizontal="center" vertical="center"/>
    </xf>
    <xf numFmtId="0" fontId="96" fillId="3" borderId="1" xfId="2" applyFont="1" applyAlignment="1">
      <alignment horizontal="center" vertical="center"/>
    </xf>
    <xf numFmtId="0" fontId="96" fillId="3" borderId="10" xfId="2" applyFont="1" applyBorder="1" applyAlignment="1">
      <alignment horizontal="center" vertical="center"/>
    </xf>
    <xf numFmtId="0" fontId="96" fillId="3" borderId="11" xfId="2" applyFont="1" applyBorder="1" applyAlignment="1">
      <alignment horizontal="center" vertical="center"/>
    </xf>
    <xf numFmtId="0" fontId="96" fillId="3" borderId="12" xfId="2" applyFont="1" applyBorder="1" applyAlignment="1">
      <alignment horizontal="center" vertical="center"/>
    </xf>
    <xf numFmtId="0" fontId="96" fillId="3" borderId="13" xfId="2" applyFont="1" applyBorder="1" applyAlignment="1">
      <alignment horizontal="center" vertical="center"/>
    </xf>
    <xf numFmtId="0" fontId="83" fillId="3" borderId="2" xfId="2" applyBorder="1" applyAlignment="1">
      <alignment horizontal="center" vertical="center"/>
    </xf>
    <xf numFmtId="0" fontId="83" fillId="3" borderId="7" xfId="2" applyBorder="1" applyAlignment="1">
      <alignment horizontal="center" vertical="top"/>
    </xf>
    <xf numFmtId="0" fontId="83" fillId="3" borderId="6" xfId="2" applyBorder="1" applyAlignment="1">
      <alignment horizontal="center" vertical="top"/>
    </xf>
    <xf numFmtId="0" fontId="97" fillId="0" borderId="6" xfId="0" applyFont="1" applyBorder="1" applyAlignment="1">
      <alignment horizontal="right" vertical="center"/>
    </xf>
    <xf numFmtId="0" fontId="98" fillId="0" borderId="6" xfId="0" applyFont="1" applyBorder="1" applyAlignment="1">
      <alignment horizontal="center"/>
    </xf>
    <xf numFmtId="0" fontId="97" fillId="0" borderId="6" xfId="0" quotePrefix="1" applyFont="1" applyBorder="1" applyAlignment="1">
      <alignment horizontal="left" vertical="center"/>
    </xf>
    <xf numFmtId="0" fontId="83" fillId="3" borderId="8" xfId="2" applyBorder="1" applyAlignment="1">
      <alignment horizontal="center" vertical="top"/>
    </xf>
    <xf numFmtId="0" fontId="83" fillId="3" borderId="11" xfId="2" applyBorder="1" applyAlignment="1">
      <alignment horizontal="center" vertical="top"/>
    </xf>
    <xf numFmtId="0" fontId="83" fillId="3" borderId="12" xfId="2" applyBorder="1" applyAlignment="1">
      <alignment horizontal="center" vertical="top"/>
    </xf>
    <xf numFmtId="0" fontId="97" fillId="0" borderId="12" xfId="0" applyFont="1" applyBorder="1" applyAlignment="1">
      <alignment horizontal="right" vertical="center"/>
    </xf>
    <xf numFmtId="0" fontId="97" fillId="0" borderId="12" xfId="0" applyFont="1" applyBorder="1" applyAlignment="1">
      <alignment horizontal="center" vertical="top"/>
    </xf>
    <xf numFmtId="0" fontId="97" fillId="0" borderId="12" xfId="0" applyFont="1" applyBorder="1" applyAlignment="1">
      <alignment horizontal="left" vertical="center"/>
    </xf>
    <xf numFmtId="0" fontId="83" fillId="3" borderId="13" xfId="2" applyBorder="1" applyAlignment="1">
      <alignment horizontal="center" vertical="top"/>
    </xf>
    <xf numFmtId="0" fontId="99" fillId="3" borderId="3" xfId="2" applyFont="1" applyBorder="1" applyAlignment="1">
      <alignment horizontal="center" vertical="top"/>
    </xf>
    <xf numFmtId="0" fontId="99" fillId="3" borderId="4" xfId="2" applyFont="1" applyBorder="1" applyAlignment="1">
      <alignment horizontal="center" vertical="top"/>
    </xf>
    <xf numFmtId="0" fontId="99" fillId="3" borderId="5" xfId="2" applyFont="1" applyBorder="1" applyAlignment="1">
      <alignment horizontal="center" vertical="top"/>
    </xf>
    <xf numFmtId="0" fontId="100" fillId="3" borderId="14" xfId="2" applyFont="1" applyBorder="1" applyAlignment="1">
      <alignment horizontal="center" vertical="center" wrapText="1"/>
    </xf>
    <xf numFmtId="0" fontId="83" fillId="3" borderId="9" xfId="2" applyBorder="1" applyAlignment="1">
      <alignment horizontal="center"/>
    </xf>
    <xf numFmtId="0" fontId="83" fillId="3" borderId="1" xfId="2" applyAlignment="1">
      <alignment horizontal="center"/>
    </xf>
    <xf numFmtId="0" fontId="83" fillId="3" borderId="10" xfId="2" applyBorder="1" applyAlignment="1">
      <alignment horizontal="center"/>
    </xf>
    <xf numFmtId="0" fontId="100" fillId="3" borderId="15" xfId="2" applyFont="1" applyBorder="1" applyAlignment="1">
      <alignment horizontal="center" vertical="center" wrapText="1"/>
    </xf>
    <xf numFmtId="0" fontId="92" fillId="3" borderId="1" xfId="2" applyFont="1" applyAlignment="1">
      <alignment vertical="top"/>
    </xf>
    <xf numFmtId="0" fontId="92" fillId="3" borderId="1" xfId="2" applyFont="1"/>
    <xf numFmtId="0" fontId="0" fillId="0" borderId="2" xfId="0" applyFont="1" applyBorder="1" applyAlignment="1">
      <alignment horizontal="left" vertical="center" wrapText="1"/>
    </xf>
    <xf numFmtId="0" fontId="82" fillId="8" borderId="12" xfId="0" applyFont="1" applyFill="1" applyBorder="1" applyAlignment="1">
      <alignment horizontal="center"/>
    </xf>
    <xf numFmtId="0" fontId="81" fillId="7" borderId="2" xfId="0" applyFont="1" applyFill="1" applyBorder="1" applyAlignment="1">
      <alignment horizontal="center" vertical="center" wrapText="1"/>
    </xf>
    <xf numFmtId="0" fontId="81" fillId="7" borderId="2" xfId="0" applyFont="1" applyFill="1" applyBorder="1" applyAlignment="1">
      <alignment horizontal="left" vertical="center" wrapText="1"/>
    </xf>
    <xf numFmtId="4" fontId="81" fillId="7" borderId="2" xfId="0" applyNumberFormat="1" applyFont="1" applyFill="1" applyBorder="1" applyAlignment="1">
      <alignment horizontal="center" vertical="center"/>
    </xf>
    <xf numFmtId="0" fontId="0" fillId="7" borderId="0" xfId="0" applyFill="1"/>
    <xf numFmtId="43" fontId="81" fillId="7" borderId="2" xfId="1" applyFont="1" applyFill="1" applyBorder="1" applyAlignment="1">
      <alignment horizontal="center" vertical="center"/>
    </xf>
    <xf numFmtId="0" fontId="80" fillId="2" borderId="2" xfId="0" applyFont="1" applyFill="1" applyBorder="1" applyAlignment="1">
      <alignment horizontal="center" wrapText="1"/>
    </xf>
  </cellXfs>
  <cellStyles count="6">
    <cellStyle name="Moeda_Composicao BDI v2.1" xfId="5" xr:uid="{76C5B2BE-3A2C-4D13-B850-CAF1DC6B3DF1}"/>
    <cellStyle name="Normal" xfId="0" builtinId="0"/>
    <cellStyle name="Normal 2" xfId="2" xr:uid="{713749FF-A92C-472B-B360-ABB487575798}"/>
    <cellStyle name="Normal 3" xfId="3" xr:uid="{32B87FA9-AF79-49F6-B670-551D111AA01C}"/>
    <cellStyle name="Normal_FICHA DE VERIFICAÇÃO PRELIMINAR - Plano R" xfId="4" xr:uid="{630FD42D-D312-40CA-894B-E1812D05ADC7}"/>
    <cellStyle name="Vírgula" xfId="1" builtinId="3"/>
  </cellStyles>
  <dxfs count="10">
    <dxf>
      <font>
        <b/>
        <i val="0"/>
      </font>
      <fill>
        <patternFill>
          <bgColor theme="0" tint="-0.14996795556505021"/>
        </patternFill>
      </fill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lor theme="0"/>
      </font>
      <fill>
        <patternFill patternType="none">
          <bgColor indexed="65"/>
        </patternFill>
      </fill>
    </dxf>
    <dxf>
      <font>
        <color theme="0"/>
      </font>
      <fill>
        <patternFill patternType="none">
          <bgColor indexed="65"/>
        </patternFill>
      </fill>
    </dxf>
    <dxf>
      <font>
        <color theme="0"/>
      </font>
      <fill>
        <patternFill patternType="none">
          <bgColor indexed="65"/>
        </patternFill>
      </fill>
    </dxf>
    <dxf>
      <font>
        <condense val="0"/>
        <extend val="0"/>
        <color indexed="17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10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lor theme="1"/>
      </font>
      <fill>
        <patternFill>
          <bgColor theme="0" tint="-0.1499679555650502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</font>
      <fill>
        <patternFill>
          <bgColor theme="0" tint="-0.14996795556505021"/>
        </patternFill>
      </fill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944880</xdr:colOff>
      <xdr:row>1</xdr:row>
      <xdr:rowOff>167640</xdr:rowOff>
    </xdr:from>
    <xdr:to>
      <xdr:col>3</xdr:col>
      <xdr:colOff>188844</xdr:colOff>
      <xdr:row>1</xdr:row>
      <xdr:rowOff>767799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52F455F2-8FF7-7A8E-C925-05E5788382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73580" y="365760"/>
          <a:ext cx="1781424" cy="60015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30480</xdr:colOff>
      <xdr:row>3</xdr:row>
      <xdr:rowOff>0</xdr:rowOff>
    </xdr:from>
    <xdr:to>
      <xdr:col>8</xdr:col>
      <xdr:colOff>30480</xdr:colOff>
      <xdr:row>5</xdr:row>
      <xdr:rowOff>7620</xdr:rowOff>
    </xdr:to>
    <xdr:sp macro="" textlink="">
      <xdr:nvSpPr>
        <xdr:cNvPr id="2" name="Object 476" hidden="1">
          <a:extLst>
            <a:ext uri="{63B3BB69-23CF-44E3-9099-C40C66FF867C}">
              <a14:compatExt xmlns:a14="http://schemas.microsoft.com/office/drawing/2010/main" spid="_x0000_s156124"/>
            </a:ext>
            <a:ext uri="{FF2B5EF4-FFF2-40B4-BE49-F238E27FC236}">
              <a16:creationId xmlns:a16="http://schemas.microsoft.com/office/drawing/2014/main" id="{D6361EB7-A5D0-4EE6-8F23-CD2C7D60A079}"/>
            </a:ext>
          </a:extLst>
        </xdr:cNvPr>
        <xdr:cNvSpPr/>
      </xdr:nvSpPr>
      <xdr:spPr bwMode="auto">
        <a:xfrm>
          <a:off x="30480" y="502920"/>
          <a:ext cx="0" cy="3733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30480</xdr:colOff>
      <xdr:row>3</xdr:row>
      <xdr:rowOff>0</xdr:rowOff>
    </xdr:from>
    <xdr:to>
      <xdr:col>8</xdr:col>
      <xdr:colOff>30480</xdr:colOff>
      <xdr:row>5</xdr:row>
      <xdr:rowOff>7620</xdr:rowOff>
    </xdr:to>
    <xdr:pic>
      <xdr:nvPicPr>
        <xdr:cNvPr id="3" name="Picture 476">
          <a:extLst>
            <a:ext uri="{FF2B5EF4-FFF2-40B4-BE49-F238E27FC236}">
              <a16:creationId xmlns:a16="http://schemas.microsoft.com/office/drawing/2014/main" id="{E5E47B88-8CCA-4DC4-A1E8-44D11D9DEF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" y="502920"/>
          <a:ext cx="0" cy="3733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30480</xdr:rowOff>
    </xdr:from>
    <xdr:to>
      <xdr:col>8</xdr:col>
      <xdr:colOff>562734</xdr:colOff>
      <xdr:row>39</xdr:row>
      <xdr:rowOff>109591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67ED0326-BA2F-32FC-9B74-42C3C36E24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0480"/>
          <a:ext cx="5439534" cy="721143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441960</xdr:colOff>
      <xdr:row>1</xdr:row>
      <xdr:rowOff>182880</xdr:rowOff>
    </xdr:from>
    <xdr:to>
      <xdr:col>2</xdr:col>
      <xdr:colOff>813684</xdr:colOff>
      <xdr:row>1</xdr:row>
      <xdr:rowOff>783039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C7F5C90A-4552-436D-B4D8-9495088F09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70660" y="381000"/>
          <a:ext cx="1781424" cy="60015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ICITA&#199;&#195;O%2002/Documents/ESTUDO/PARTICULAR/VALMIR/BELEM/02%20-%20PAVIMENTA&#199;&#195;O/PASTA%20PARA%20LICITAR/CD%20-%20PAVIM-%20BEL&#201;M%20-%20FINAL%20-%20APROVADO%20-%2020-11-2019/PO%20-%20PLANILHA%20OR&#199;AMENTARIA%20-%20pavimenta&#231;&#227;o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DOS"/>
      <sheetName val="BDI (1)"/>
      <sheetName val="PO"/>
      <sheetName val="PLQ"/>
      <sheetName val="CFF"/>
    </sheetNames>
    <sheetDataSet>
      <sheetData sheetId="0" refreshError="1">
        <row r="38">
          <cell r="C38" t="str">
            <v>Sim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43"/>
  <sheetViews>
    <sheetView tabSelected="1" view="pageBreakPreview" zoomScaleNormal="100" zoomScaleSheetLayoutView="100" workbookViewId="0">
      <selection activeCell="E2" sqref="E2"/>
    </sheetView>
  </sheetViews>
  <sheetFormatPr defaultRowHeight="15.6" x14ac:dyDescent="0.3"/>
  <cols>
    <col min="1" max="1" width="15" style="97" customWidth="1"/>
    <col min="2" max="2" width="25" style="97" customWidth="1"/>
    <col min="3" max="4" width="12" style="97" customWidth="1"/>
    <col min="5" max="5" width="70" style="99" customWidth="1"/>
    <col min="6" max="6" width="20" style="97" customWidth="1"/>
    <col min="7" max="7" width="10" style="97" customWidth="1"/>
    <col min="8" max="8" width="25" style="97" customWidth="1"/>
    <col min="9" max="9" width="15" style="97" customWidth="1"/>
    <col min="10" max="10" width="13" style="97" customWidth="1"/>
    <col min="11" max="12" width="35" style="97" customWidth="1"/>
    <col min="13" max="13" width="20" style="97" hidden="1" customWidth="1"/>
    <col min="14" max="14" width="20" style="97" customWidth="1"/>
    <col min="15" max="15" width="42.44140625" style="97" customWidth="1"/>
    <col min="16" max="16" width="13.21875" style="97" customWidth="1"/>
    <col min="17" max="17" width="18.77734375" style="97" customWidth="1"/>
  </cols>
  <sheetData>
    <row r="1" spans="1:17" x14ac:dyDescent="0.3">
      <c r="A1" s="95"/>
      <c r="B1" s="93"/>
      <c r="C1" s="100"/>
      <c r="D1" s="100"/>
      <c r="E1" s="101" t="s">
        <v>369</v>
      </c>
      <c r="G1" s="96" t="s">
        <v>363</v>
      </c>
      <c r="H1" s="96"/>
      <c r="I1" s="96" t="s">
        <v>364</v>
      </c>
      <c r="J1" s="96"/>
      <c r="K1" s="96" t="s">
        <v>365</v>
      </c>
      <c r="L1" s="96"/>
    </row>
    <row r="2" spans="1:17" ht="92.4" customHeight="1" x14ac:dyDescent="0.3">
      <c r="A2" s="95"/>
      <c r="B2" s="94"/>
      <c r="C2" s="98"/>
      <c r="D2" s="98"/>
      <c r="E2" s="101" t="s">
        <v>414</v>
      </c>
      <c r="G2" s="96" t="s">
        <v>366</v>
      </c>
      <c r="H2" s="96"/>
      <c r="I2" s="96" t="s">
        <v>367</v>
      </c>
      <c r="J2" s="96"/>
      <c r="K2" s="96" t="s">
        <v>368</v>
      </c>
      <c r="L2" s="96"/>
    </row>
    <row r="4" spans="1:17" x14ac:dyDescent="0.3">
      <c r="A4" s="186" t="s">
        <v>411</v>
      </c>
      <c r="B4" s="186"/>
      <c r="C4" s="186"/>
      <c r="D4" s="186"/>
      <c r="E4" s="186"/>
      <c r="F4" s="186"/>
      <c r="G4" s="186"/>
      <c r="H4" s="186"/>
      <c r="I4" s="186"/>
      <c r="J4" s="186"/>
      <c r="K4" s="186"/>
      <c r="L4" s="186"/>
      <c r="M4" s="186"/>
      <c r="N4" s="186"/>
      <c r="O4" s="186"/>
      <c r="P4" s="186"/>
      <c r="Q4" s="186"/>
    </row>
    <row r="5" spans="1:17" x14ac:dyDescent="0.3">
      <c r="A5" s="102" t="s">
        <v>0</v>
      </c>
      <c r="B5" s="102" t="s">
        <v>1</v>
      </c>
      <c r="C5" s="102" t="s">
        <v>2</v>
      </c>
      <c r="D5" s="102" t="s">
        <v>3</v>
      </c>
      <c r="E5" s="103" t="s">
        <v>4</v>
      </c>
      <c r="F5" s="102" t="s">
        <v>5</v>
      </c>
      <c r="G5" s="102" t="s">
        <v>6</v>
      </c>
      <c r="H5" s="102" t="s">
        <v>7</v>
      </c>
      <c r="I5" s="102" t="s">
        <v>8</v>
      </c>
      <c r="J5" s="102" t="s">
        <v>9</v>
      </c>
      <c r="K5" s="102" t="s">
        <v>10</v>
      </c>
      <c r="L5" s="102" t="s">
        <v>11</v>
      </c>
      <c r="M5" s="102" t="s">
        <v>12</v>
      </c>
      <c r="N5" s="102" t="s">
        <v>13</v>
      </c>
      <c r="O5" s="102" t="s">
        <v>14</v>
      </c>
      <c r="P5" s="102" t="s">
        <v>15</v>
      </c>
      <c r="Q5" s="102" t="s">
        <v>16</v>
      </c>
    </row>
    <row r="6" spans="1:17" ht="45" customHeight="1" x14ac:dyDescent="0.3">
      <c r="A6" s="104" t="s">
        <v>17</v>
      </c>
      <c r="B6" s="104" t="s">
        <v>18</v>
      </c>
      <c r="C6" s="104" t="s">
        <v>19</v>
      </c>
      <c r="D6" s="104" t="s">
        <v>19</v>
      </c>
      <c r="E6" s="105" t="s">
        <v>20</v>
      </c>
      <c r="F6" s="104" t="s">
        <v>19</v>
      </c>
      <c r="G6" s="104" t="s">
        <v>19</v>
      </c>
      <c r="H6" s="104" t="s">
        <v>19</v>
      </c>
      <c r="I6" s="104" t="s">
        <v>19</v>
      </c>
      <c r="J6" s="104" t="s">
        <v>19</v>
      </c>
      <c r="K6" s="104" t="s">
        <v>19</v>
      </c>
      <c r="L6" s="106">
        <f>ROUND(L7,2)</f>
        <v>75951.899999999994</v>
      </c>
      <c r="M6" s="104" t="s">
        <v>19</v>
      </c>
      <c r="N6" s="104" t="s">
        <v>19</v>
      </c>
      <c r="O6" s="104" t="s">
        <v>19</v>
      </c>
      <c r="P6" s="104" t="s">
        <v>19</v>
      </c>
      <c r="Q6" s="104" t="s">
        <v>19</v>
      </c>
    </row>
    <row r="7" spans="1:17" ht="45" customHeight="1" x14ac:dyDescent="0.3">
      <c r="A7" s="107" t="s">
        <v>21</v>
      </c>
      <c r="B7" s="107" t="s">
        <v>22</v>
      </c>
      <c r="C7" s="107" t="s">
        <v>23</v>
      </c>
      <c r="D7" s="107" t="s">
        <v>24</v>
      </c>
      <c r="E7" s="108" t="s">
        <v>20</v>
      </c>
      <c r="F7" s="109">
        <f>P7</f>
        <v>6</v>
      </c>
      <c r="G7" s="107" t="s">
        <v>25</v>
      </c>
      <c r="H7" s="110">
        <v>9926.02</v>
      </c>
      <c r="I7" s="110">
        <v>9926.02</v>
      </c>
      <c r="J7" s="111">
        <v>0.27529999999999999</v>
      </c>
      <c r="K7" s="110">
        <f>ROUND(I7,2)+(ROUND(I7,2)*J7)</f>
        <v>12658.653306</v>
      </c>
      <c r="L7" s="112">
        <f>ROUND(Q7,2)</f>
        <v>75951.899999999994</v>
      </c>
      <c r="M7" s="107" t="s">
        <v>19</v>
      </c>
      <c r="N7" s="107" t="s">
        <v>18</v>
      </c>
      <c r="O7" s="107" t="s">
        <v>20</v>
      </c>
      <c r="P7" s="109">
        <v>6</v>
      </c>
      <c r="Q7" s="110">
        <f>ROUND(K7,2)*P7</f>
        <v>75951.899999999994</v>
      </c>
    </row>
    <row r="8" spans="1:17" ht="45" customHeight="1" x14ac:dyDescent="0.3">
      <c r="A8" s="104" t="s">
        <v>17</v>
      </c>
      <c r="B8" s="104" t="s">
        <v>26</v>
      </c>
      <c r="C8" s="104" t="s">
        <v>19</v>
      </c>
      <c r="D8" s="104" t="s">
        <v>19</v>
      </c>
      <c r="E8" s="105" t="s">
        <v>27</v>
      </c>
      <c r="F8" s="104" t="s">
        <v>19</v>
      </c>
      <c r="G8" s="104" t="s">
        <v>19</v>
      </c>
      <c r="H8" s="104" t="s">
        <v>19</v>
      </c>
      <c r="I8" s="104" t="s">
        <v>19</v>
      </c>
      <c r="J8" s="104" t="s">
        <v>19</v>
      </c>
      <c r="K8" s="104" t="s">
        <v>19</v>
      </c>
      <c r="L8" s="106">
        <f>ROUND(L9,2)+ROUND(L10,2)+ROUND(L11,2)+ROUND(L12,2)+ROUND(L13,2)</f>
        <v>38603.869999999995</v>
      </c>
      <c r="M8" s="104" t="s">
        <v>19</v>
      </c>
      <c r="N8" s="104" t="s">
        <v>19</v>
      </c>
      <c r="O8" s="104" t="s">
        <v>19</v>
      </c>
      <c r="P8" s="104" t="s">
        <v>19</v>
      </c>
      <c r="Q8" s="104" t="s">
        <v>19</v>
      </c>
    </row>
    <row r="9" spans="1:17" ht="45" customHeight="1" x14ac:dyDescent="0.3">
      <c r="A9" s="107" t="s">
        <v>21</v>
      </c>
      <c r="B9" s="107" t="s">
        <v>28</v>
      </c>
      <c r="C9" s="107" t="s">
        <v>23</v>
      </c>
      <c r="D9" s="107" t="s">
        <v>29</v>
      </c>
      <c r="E9" s="108" t="s">
        <v>30</v>
      </c>
      <c r="F9" s="109">
        <f>P9</f>
        <v>6</v>
      </c>
      <c r="G9" s="107" t="s">
        <v>31</v>
      </c>
      <c r="H9" s="110">
        <v>461.98</v>
      </c>
      <c r="I9" s="110">
        <v>461.98</v>
      </c>
      <c r="J9" s="111">
        <v>0.27529999999999999</v>
      </c>
      <c r="K9" s="110">
        <f>ROUND(I9,2)+(ROUND(I9,2)*J9)</f>
        <v>589.163094</v>
      </c>
      <c r="L9" s="112">
        <f>ROUND(Q9,2)</f>
        <v>3534.96</v>
      </c>
      <c r="M9" s="107" t="s">
        <v>19</v>
      </c>
      <c r="N9" s="107" t="s">
        <v>26</v>
      </c>
      <c r="O9" s="107" t="s">
        <v>27</v>
      </c>
      <c r="P9" s="109">
        <v>6</v>
      </c>
      <c r="Q9" s="110">
        <f>ROUND(K9,2)*P9</f>
        <v>3534.96</v>
      </c>
    </row>
    <row r="10" spans="1:17" ht="45" customHeight="1" x14ac:dyDescent="0.3">
      <c r="A10" s="107" t="s">
        <v>21</v>
      </c>
      <c r="B10" s="107" t="s">
        <v>32</v>
      </c>
      <c r="C10" s="107" t="s">
        <v>23</v>
      </c>
      <c r="D10" s="107" t="s">
        <v>33</v>
      </c>
      <c r="E10" s="108" t="s">
        <v>34</v>
      </c>
      <c r="F10" s="109">
        <f>P10</f>
        <v>1</v>
      </c>
      <c r="G10" s="107" t="s">
        <v>25</v>
      </c>
      <c r="H10" s="110">
        <v>6524.84</v>
      </c>
      <c r="I10" s="110">
        <v>6524.84</v>
      </c>
      <c r="J10" s="111">
        <v>0.27529999999999999</v>
      </c>
      <c r="K10" s="110">
        <f>ROUND(I10,2)+(ROUND(I10,2)*J10)</f>
        <v>8321.1284520000008</v>
      </c>
      <c r="L10" s="112">
        <f>ROUND(Q10,2)</f>
        <v>8321.1299999999992</v>
      </c>
      <c r="M10" s="107" t="s">
        <v>19</v>
      </c>
      <c r="N10" s="107" t="s">
        <v>26</v>
      </c>
      <c r="O10" s="107" t="s">
        <v>27</v>
      </c>
      <c r="P10" s="109">
        <v>1</v>
      </c>
      <c r="Q10" s="110">
        <f>ROUND(K10,2)*P10</f>
        <v>8321.1299999999992</v>
      </c>
    </row>
    <row r="11" spans="1:17" ht="45" customHeight="1" x14ac:dyDescent="0.3">
      <c r="A11" s="107" t="s">
        <v>21</v>
      </c>
      <c r="B11" s="107" t="s">
        <v>35</v>
      </c>
      <c r="C11" s="107" t="s">
        <v>23</v>
      </c>
      <c r="D11" s="107" t="s">
        <v>36</v>
      </c>
      <c r="E11" s="108" t="s">
        <v>37</v>
      </c>
      <c r="F11" s="109">
        <f>P11</f>
        <v>1</v>
      </c>
      <c r="G11" s="107" t="s">
        <v>25</v>
      </c>
      <c r="H11" s="110">
        <v>869.33</v>
      </c>
      <c r="I11" s="110">
        <v>869.33</v>
      </c>
      <c r="J11" s="111">
        <v>0.27529999999999999</v>
      </c>
      <c r="K11" s="110">
        <f>ROUND(I11,2)+(ROUND(I11,2)*J11)</f>
        <v>1108.656549</v>
      </c>
      <c r="L11" s="112">
        <f>ROUND(Q11,2)</f>
        <v>1108.6600000000001</v>
      </c>
      <c r="M11" s="107" t="s">
        <v>19</v>
      </c>
      <c r="N11" s="107" t="s">
        <v>26</v>
      </c>
      <c r="O11" s="107" t="s">
        <v>27</v>
      </c>
      <c r="P11" s="109">
        <v>1</v>
      </c>
      <c r="Q11" s="110">
        <f>ROUND(K11,2)*P11</f>
        <v>1108.6600000000001</v>
      </c>
    </row>
    <row r="12" spans="1:17" ht="45" customHeight="1" x14ac:dyDescent="0.3">
      <c r="A12" s="107" t="s">
        <v>21</v>
      </c>
      <c r="B12" s="107" t="s">
        <v>38</v>
      </c>
      <c r="C12" s="107" t="s">
        <v>23</v>
      </c>
      <c r="D12" s="107" t="s">
        <v>39</v>
      </c>
      <c r="E12" s="108" t="s">
        <v>40</v>
      </c>
      <c r="F12" s="109">
        <f>P12</f>
        <v>12</v>
      </c>
      <c r="G12" s="107" t="s">
        <v>41</v>
      </c>
      <c r="H12" s="110">
        <v>1600</v>
      </c>
      <c r="I12" s="110">
        <v>1600</v>
      </c>
      <c r="J12" s="111">
        <v>0.27529999999999999</v>
      </c>
      <c r="K12" s="110">
        <f>ROUND(I12,2)+(ROUND(I12,2)*J12)</f>
        <v>2040.48</v>
      </c>
      <c r="L12" s="112">
        <f>ROUND(Q12,2)</f>
        <v>24485.759999999998</v>
      </c>
      <c r="M12" s="107" t="s">
        <v>19</v>
      </c>
      <c r="N12" s="107" t="s">
        <v>26</v>
      </c>
      <c r="O12" s="107" t="s">
        <v>27</v>
      </c>
      <c r="P12" s="109">
        <v>12</v>
      </c>
      <c r="Q12" s="110">
        <f>ROUND(K12,2)*P12</f>
        <v>24485.760000000002</v>
      </c>
    </row>
    <row r="13" spans="1:17" ht="45" customHeight="1" x14ac:dyDescent="0.3">
      <c r="A13" s="107" t="s">
        <v>21</v>
      </c>
      <c r="B13" s="107" t="s">
        <v>42</v>
      </c>
      <c r="C13" s="107" t="s">
        <v>23</v>
      </c>
      <c r="D13" s="107" t="s">
        <v>43</v>
      </c>
      <c r="E13" s="108" t="s">
        <v>44</v>
      </c>
      <c r="F13" s="109">
        <f>P13</f>
        <v>1</v>
      </c>
      <c r="G13" s="107" t="s">
        <v>25</v>
      </c>
      <c r="H13" s="110">
        <v>904.38</v>
      </c>
      <c r="I13" s="110">
        <v>904.38</v>
      </c>
      <c r="J13" s="111">
        <v>0.27529999999999999</v>
      </c>
      <c r="K13" s="110">
        <f>ROUND(I13,2)+(ROUND(I13,2)*J13)</f>
        <v>1153.355814</v>
      </c>
      <c r="L13" s="112">
        <f>ROUND(Q13,2)</f>
        <v>1153.3599999999999</v>
      </c>
      <c r="M13" s="107" t="s">
        <v>19</v>
      </c>
      <c r="N13" s="107" t="s">
        <v>26</v>
      </c>
      <c r="O13" s="107" t="s">
        <v>27</v>
      </c>
      <c r="P13" s="109">
        <v>1</v>
      </c>
      <c r="Q13" s="110">
        <f>ROUND(K13,2)*P13</f>
        <v>1153.3599999999999</v>
      </c>
    </row>
    <row r="14" spans="1:17" ht="45" customHeight="1" x14ac:dyDescent="0.3">
      <c r="A14" s="104" t="s">
        <v>17</v>
      </c>
      <c r="B14" s="104" t="s">
        <v>45</v>
      </c>
      <c r="C14" s="104" t="s">
        <v>19</v>
      </c>
      <c r="D14" s="104" t="s">
        <v>19</v>
      </c>
      <c r="E14" s="105" t="s">
        <v>46</v>
      </c>
      <c r="F14" s="104" t="s">
        <v>19</v>
      </c>
      <c r="G14" s="104" t="s">
        <v>19</v>
      </c>
      <c r="H14" s="104" t="s">
        <v>19</v>
      </c>
      <c r="I14" s="104" t="s">
        <v>19</v>
      </c>
      <c r="J14" s="104" t="s">
        <v>19</v>
      </c>
      <c r="K14" s="104" t="s">
        <v>19</v>
      </c>
      <c r="L14" s="106">
        <f>ROUND(L15,2)+ROUND(L16,2)+ROUND(L17,2)+ROUND(L18,2)</f>
        <v>13295.029999999999</v>
      </c>
      <c r="M14" s="104" t="s">
        <v>19</v>
      </c>
      <c r="N14" s="104" t="s">
        <v>19</v>
      </c>
      <c r="O14" s="104" t="s">
        <v>19</v>
      </c>
      <c r="P14" s="104" t="s">
        <v>19</v>
      </c>
      <c r="Q14" s="104" t="s">
        <v>19</v>
      </c>
    </row>
    <row r="15" spans="1:17" ht="45" customHeight="1" x14ac:dyDescent="0.3">
      <c r="A15" s="107" t="s">
        <v>21</v>
      </c>
      <c r="B15" s="107" t="s">
        <v>47</v>
      </c>
      <c r="C15" s="107" t="s">
        <v>23</v>
      </c>
      <c r="D15" s="107" t="s">
        <v>48</v>
      </c>
      <c r="E15" s="108" t="s">
        <v>49</v>
      </c>
      <c r="F15" s="109">
        <f>P15</f>
        <v>32.5</v>
      </c>
      <c r="G15" s="107" t="s">
        <v>50</v>
      </c>
      <c r="H15" s="110">
        <v>57.26</v>
      </c>
      <c r="I15" s="110">
        <v>57.26</v>
      </c>
      <c r="J15" s="111">
        <v>0.27529999999999999</v>
      </c>
      <c r="K15" s="110">
        <f>ROUND(I15,2)+(ROUND(I15,2)*J15)</f>
        <v>73.02367799999999</v>
      </c>
      <c r="L15" s="112">
        <f>ROUND(Q15,2)</f>
        <v>2373.15</v>
      </c>
      <c r="M15" s="107" t="s">
        <v>19</v>
      </c>
      <c r="N15" s="107" t="s">
        <v>51</v>
      </c>
      <c r="O15" s="107" t="s">
        <v>46</v>
      </c>
      <c r="P15" s="109">
        <v>32.5</v>
      </c>
      <c r="Q15" s="110">
        <f>ROUND(K15,2)*P15</f>
        <v>2373.15</v>
      </c>
    </row>
    <row r="16" spans="1:17" ht="45" customHeight="1" x14ac:dyDescent="0.3">
      <c r="A16" s="107" t="s">
        <v>21</v>
      </c>
      <c r="B16" s="107" t="s">
        <v>52</v>
      </c>
      <c r="C16" s="107" t="s">
        <v>23</v>
      </c>
      <c r="D16" s="107" t="s">
        <v>53</v>
      </c>
      <c r="E16" s="108" t="s">
        <v>54</v>
      </c>
      <c r="F16" s="109">
        <f>P16</f>
        <v>130</v>
      </c>
      <c r="G16" s="107" t="s">
        <v>31</v>
      </c>
      <c r="H16" s="110">
        <v>0.63</v>
      </c>
      <c r="I16" s="110">
        <v>0.63</v>
      </c>
      <c r="J16" s="111">
        <v>0.27529999999999999</v>
      </c>
      <c r="K16" s="110">
        <f>ROUND(I16,2)+(ROUND(I16,2)*J16)</f>
        <v>0.80343900000000001</v>
      </c>
      <c r="L16" s="112">
        <f>ROUND(Q16,2)</f>
        <v>104</v>
      </c>
      <c r="M16" s="107" t="s">
        <v>19</v>
      </c>
      <c r="N16" s="107" t="s">
        <v>51</v>
      </c>
      <c r="O16" s="107" t="s">
        <v>46</v>
      </c>
      <c r="P16" s="109">
        <v>130</v>
      </c>
      <c r="Q16" s="110">
        <f>ROUND(K16,2)*P16</f>
        <v>104</v>
      </c>
    </row>
    <row r="17" spans="1:17" ht="45" customHeight="1" x14ac:dyDescent="0.3">
      <c r="A17" s="107" t="s">
        <v>21</v>
      </c>
      <c r="B17" s="107" t="s">
        <v>55</v>
      </c>
      <c r="C17" s="107" t="s">
        <v>23</v>
      </c>
      <c r="D17" s="107" t="s">
        <v>56</v>
      </c>
      <c r="E17" s="108" t="s">
        <v>57</v>
      </c>
      <c r="F17" s="109">
        <f>P17</f>
        <v>78</v>
      </c>
      <c r="G17" s="107" t="s">
        <v>31</v>
      </c>
      <c r="H17" s="110">
        <v>34.270000000000003</v>
      </c>
      <c r="I17" s="110">
        <v>34.270000000000003</v>
      </c>
      <c r="J17" s="111">
        <v>0.27529999999999999</v>
      </c>
      <c r="K17" s="110">
        <f>ROUND(I17,2)+(ROUND(I17,2)*J17)</f>
        <v>43.704531000000003</v>
      </c>
      <c r="L17" s="112">
        <f>ROUND(Q17,2)</f>
        <v>3408.6</v>
      </c>
      <c r="M17" s="107" t="s">
        <v>19</v>
      </c>
      <c r="N17" s="107" t="s">
        <v>51</v>
      </c>
      <c r="O17" s="107" t="s">
        <v>46</v>
      </c>
      <c r="P17" s="109">
        <v>78</v>
      </c>
      <c r="Q17" s="110">
        <f>ROUND(K17,2)*P17</f>
        <v>3408.6000000000004</v>
      </c>
    </row>
    <row r="18" spans="1:17" ht="45" customHeight="1" x14ac:dyDescent="0.3">
      <c r="A18" s="107" t="s">
        <v>21</v>
      </c>
      <c r="B18" s="107" t="s">
        <v>58</v>
      </c>
      <c r="C18" s="107" t="s">
        <v>23</v>
      </c>
      <c r="D18" s="107" t="s">
        <v>59</v>
      </c>
      <c r="E18" s="108" t="s">
        <v>60</v>
      </c>
      <c r="F18" s="109">
        <f>P18</f>
        <v>64</v>
      </c>
      <c r="G18" s="107" t="s">
        <v>31</v>
      </c>
      <c r="H18" s="110">
        <v>90.78</v>
      </c>
      <c r="I18" s="110">
        <v>90.78</v>
      </c>
      <c r="J18" s="111">
        <v>0.27529999999999999</v>
      </c>
      <c r="K18" s="110">
        <f>ROUND(I18,2)+(ROUND(I18,2)*J18)</f>
        <v>115.77173400000001</v>
      </c>
      <c r="L18" s="112">
        <f>ROUND(Q18,2)</f>
        <v>7409.28</v>
      </c>
      <c r="M18" s="107" t="s">
        <v>19</v>
      </c>
      <c r="N18" s="107" t="s">
        <v>51</v>
      </c>
      <c r="O18" s="107" t="s">
        <v>46</v>
      </c>
      <c r="P18" s="109">
        <v>64</v>
      </c>
      <c r="Q18" s="110">
        <f>ROUND(K18,2)*P18</f>
        <v>7409.28</v>
      </c>
    </row>
    <row r="19" spans="1:17" ht="45" customHeight="1" x14ac:dyDescent="0.3">
      <c r="A19" s="104" t="s">
        <v>17</v>
      </c>
      <c r="B19" s="104" t="s">
        <v>51</v>
      </c>
      <c r="C19" s="104" t="s">
        <v>19</v>
      </c>
      <c r="D19" s="104" t="s">
        <v>19</v>
      </c>
      <c r="E19" s="105" t="s">
        <v>61</v>
      </c>
      <c r="F19" s="104" t="s">
        <v>19</v>
      </c>
      <c r="G19" s="104" t="s">
        <v>19</v>
      </c>
      <c r="H19" s="104" t="s">
        <v>19</v>
      </c>
      <c r="I19" s="104" t="s">
        <v>19</v>
      </c>
      <c r="J19" s="104" t="s">
        <v>19</v>
      </c>
      <c r="K19" s="104" t="s">
        <v>19</v>
      </c>
      <c r="L19" s="106">
        <f>ROUND(L20,2)+ROUND(L21,2)+ROUND(L22,2)+ROUND(L23,2)+ROUND(L24,2)+ROUND(L25,2)</f>
        <v>411733.72</v>
      </c>
      <c r="M19" s="104" t="s">
        <v>19</v>
      </c>
      <c r="N19" s="104" t="s">
        <v>19</v>
      </c>
      <c r="O19" s="104" t="s">
        <v>19</v>
      </c>
      <c r="P19" s="104" t="s">
        <v>19</v>
      </c>
      <c r="Q19" s="104" t="s">
        <v>19</v>
      </c>
    </row>
    <row r="20" spans="1:17" ht="45" customHeight="1" x14ac:dyDescent="0.3">
      <c r="A20" s="107" t="s">
        <v>21</v>
      </c>
      <c r="B20" s="107" t="s">
        <v>62</v>
      </c>
      <c r="C20" s="107" t="s">
        <v>23</v>
      </c>
      <c r="D20" s="107" t="s">
        <v>63</v>
      </c>
      <c r="E20" s="108" t="s">
        <v>64</v>
      </c>
      <c r="F20" s="109">
        <f t="shared" ref="F20:F25" si="0">P20</f>
        <v>1.4</v>
      </c>
      <c r="G20" s="107" t="s">
        <v>31</v>
      </c>
      <c r="H20" s="110">
        <v>2.68</v>
      </c>
      <c r="I20" s="110">
        <v>2.68</v>
      </c>
      <c r="J20" s="111">
        <v>0.27529999999999999</v>
      </c>
      <c r="K20" s="110">
        <f t="shared" ref="K20:K25" si="1">ROUND(I20,2)+(ROUND(I20,2)*J20)</f>
        <v>3.4178040000000003</v>
      </c>
      <c r="L20" s="112">
        <f t="shared" ref="L20:L25" si="2">ROUND(Q20,2)</f>
        <v>4.79</v>
      </c>
      <c r="M20" s="107" t="s">
        <v>19</v>
      </c>
      <c r="N20" s="107" t="s">
        <v>65</v>
      </c>
      <c r="O20" s="107" t="s">
        <v>61</v>
      </c>
      <c r="P20" s="109">
        <v>1.4</v>
      </c>
      <c r="Q20" s="110">
        <f t="shared" ref="Q20:Q25" si="3">ROUND(K20,2)*P20</f>
        <v>4.7879999999999994</v>
      </c>
    </row>
    <row r="21" spans="1:17" ht="45" customHeight="1" x14ac:dyDescent="0.3">
      <c r="A21" s="107" t="s">
        <v>21</v>
      </c>
      <c r="B21" s="107" t="s">
        <v>66</v>
      </c>
      <c r="C21" s="107" t="s">
        <v>67</v>
      </c>
      <c r="D21" s="107" t="s">
        <v>68</v>
      </c>
      <c r="E21" s="108" t="s">
        <v>69</v>
      </c>
      <c r="F21" s="109">
        <f t="shared" si="0"/>
        <v>140</v>
      </c>
      <c r="G21" s="107" t="s">
        <v>50</v>
      </c>
      <c r="H21" s="110">
        <v>161.76</v>
      </c>
      <c r="I21" s="110">
        <v>161.76</v>
      </c>
      <c r="J21" s="111">
        <v>0.27529999999999999</v>
      </c>
      <c r="K21" s="110">
        <f t="shared" si="1"/>
        <v>206.292528</v>
      </c>
      <c r="L21" s="112">
        <f t="shared" si="2"/>
        <v>28880.6</v>
      </c>
      <c r="M21" s="107" t="s">
        <v>19</v>
      </c>
      <c r="N21" s="107" t="s">
        <v>65</v>
      </c>
      <c r="O21" s="107" t="s">
        <v>61</v>
      </c>
      <c r="P21" s="109">
        <v>140</v>
      </c>
      <c r="Q21" s="110">
        <f t="shared" si="3"/>
        <v>28880.6</v>
      </c>
    </row>
    <row r="22" spans="1:17" ht="45" customHeight="1" x14ac:dyDescent="0.3">
      <c r="A22" s="107" t="s">
        <v>21</v>
      </c>
      <c r="B22" s="107" t="s">
        <v>70</v>
      </c>
      <c r="C22" s="107" t="s">
        <v>67</v>
      </c>
      <c r="D22" s="107" t="s">
        <v>71</v>
      </c>
      <c r="E22" s="108" t="s">
        <v>72</v>
      </c>
      <c r="F22" s="109">
        <f t="shared" si="0"/>
        <v>70</v>
      </c>
      <c r="G22" s="107" t="s">
        <v>50</v>
      </c>
      <c r="H22" s="110">
        <v>126.11</v>
      </c>
      <c r="I22" s="110">
        <v>126.11</v>
      </c>
      <c r="J22" s="111">
        <v>0.27529999999999999</v>
      </c>
      <c r="K22" s="110">
        <f t="shared" si="1"/>
        <v>160.82808299999999</v>
      </c>
      <c r="L22" s="112">
        <f t="shared" si="2"/>
        <v>11258.1</v>
      </c>
      <c r="M22" s="107" t="s">
        <v>19</v>
      </c>
      <c r="N22" s="107" t="s">
        <v>65</v>
      </c>
      <c r="O22" s="107" t="s">
        <v>61</v>
      </c>
      <c r="P22" s="109">
        <v>70</v>
      </c>
      <c r="Q22" s="110">
        <f t="shared" si="3"/>
        <v>11258.1</v>
      </c>
    </row>
    <row r="23" spans="1:17" ht="45" customHeight="1" x14ac:dyDescent="0.3">
      <c r="A23" s="107" t="s">
        <v>21</v>
      </c>
      <c r="B23" s="107" t="s">
        <v>73</v>
      </c>
      <c r="C23" s="107" t="s">
        <v>67</v>
      </c>
      <c r="D23" s="107" t="s">
        <v>74</v>
      </c>
      <c r="E23" s="108" t="s">
        <v>75</v>
      </c>
      <c r="F23" s="109">
        <f t="shared" si="0"/>
        <v>1400</v>
      </c>
      <c r="G23" s="107" t="s">
        <v>31</v>
      </c>
      <c r="H23" s="110">
        <v>169.73</v>
      </c>
      <c r="I23" s="110">
        <v>169.73</v>
      </c>
      <c r="J23" s="111">
        <v>0.27529999999999999</v>
      </c>
      <c r="K23" s="110">
        <f t="shared" si="1"/>
        <v>216.45666899999998</v>
      </c>
      <c r="L23" s="112">
        <f t="shared" si="2"/>
        <v>303044</v>
      </c>
      <c r="M23" s="107" t="s">
        <v>19</v>
      </c>
      <c r="N23" s="107" t="s">
        <v>65</v>
      </c>
      <c r="O23" s="107" t="s">
        <v>61</v>
      </c>
      <c r="P23" s="109">
        <v>1400</v>
      </c>
      <c r="Q23" s="110">
        <f t="shared" si="3"/>
        <v>303044</v>
      </c>
    </row>
    <row r="24" spans="1:17" ht="45" customHeight="1" x14ac:dyDescent="0.3">
      <c r="A24" s="107" t="s">
        <v>21</v>
      </c>
      <c r="B24" s="107" t="s">
        <v>76</v>
      </c>
      <c r="C24" s="107" t="s">
        <v>67</v>
      </c>
      <c r="D24" s="107" t="s">
        <v>56</v>
      </c>
      <c r="E24" s="108" t="s">
        <v>57</v>
      </c>
      <c r="F24" s="109">
        <f t="shared" si="0"/>
        <v>1400</v>
      </c>
      <c r="G24" s="107" t="s">
        <v>31</v>
      </c>
      <c r="H24" s="110">
        <v>34.270000000000003</v>
      </c>
      <c r="I24" s="110">
        <v>34.270000000000003</v>
      </c>
      <c r="J24" s="111">
        <v>0.27529999999999999</v>
      </c>
      <c r="K24" s="110">
        <f t="shared" si="1"/>
        <v>43.704531000000003</v>
      </c>
      <c r="L24" s="112">
        <f t="shared" si="2"/>
        <v>61180</v>
      </c>
      <c r="M24" s="107" t="s">
        <v>19</v>
      </c>
      <c r="N24" s="107" t="s">
        <v>65</v>
      </c>
      <c r="O24" s="107" t="s">
        <v>61</v>
      </c>
      <c r="P24" s="109">
        <v>1400</v>
      </c>
      <c r="Q24" s="110">
        <f t="shared" si="3"/>
        <v>61180.000000000007</v>
      </c>
    </row>
    <row r="25" spans="1:17" ht="45" customHeight="1" x14ac:dyDescent="0.3">
      <c r="A25" s="107" t="s">
        <v>21</v>
      </c>
      <c r="B25" s="107" t="s">
        <v>77</v>
      </c>
      <c r="C25" s="107" t="s">
        <v>67</v>
      </c>
      <c r="D25" s="107" t="s">
        <v>78</v>
      </c>
      <c r="E25" s="108" t="s">
        <v>79</v>
      </c>
      <c r="F25" s="109">
        <f t="shared" si="0"/>
        <v>7.92</v>
      </c>
      <c r="G25" s="107" t="s">
        <v>31</v>
      </c>
      <c r="H25" s="110">
        <v>729.3</v>
      </c>
      <c r="I25" s="110">
        <v>729.3</v>
      </c>
      <c r="J25" s="111">
        <v>0.27529999999999999</v>
      </c>
      <c r="K25" s="110">
        <f t="shared" si="1"/>
        <v>930.07628999999997</v>
      </c>
      <c r="L25" s="112">
        <f t="shared" si="2"/>
        <v>7366.23</v>
      </c>
      <c r="M25" s="107" t="s">
        <v>19</v>
      </c>
      <c r="N25" s="107" t="s">
        <v>65</v>
      </c>
      <c r="O25" s="107" t="s">
        <v>61</v>
      </c>
      <c r="P25" s="109">
        <v>7.92</v>
      </c>
      <c r="Q25" s="110">
        <f t="shared" si="3"/>
        <v>7366.2336000000005</v>
      </c>
    </row>
    <row r="26" spans="1:17" ht="45" customHeight="1" x14ac:dyDescent="0.3">
      <c r="A26" s="104" t="s">
        <v>17</v>
      </c>
      <c r="B26" s="104" t="s">
        <v>65</v>
      </c>
      <c r="C26" s="104" t="s">
        <v>19</v>
      </c>
      <c r="D26" s="104" t="s">
        <v>19</v>
      </c>
      <c r="E26" s="105" t="s">
        <v>80</v>
      </c>
      <c r="F26" s="104" t="s">
        <v>19</v>
      </c>
      <c r="G26" s="104" t="s">
        <v>19</v>
      </c>
      <c r="H26" s="104" t="s">
        <v>19</v>
      </c>
      <c r="I26" s="104" t="s">
        <v>19</v>
      </c>
      <c r="J26" s="104" t="s">
        <v>19</v>
      </c>
      <c r="K26" s="104" t="s">
        <v>19</v>
      </c>
      <c r="L26" s="106">
        <f>ROUND(L27,2)+ROUND(L28,2)+ROUND(L29,2)+ROUND(L30,2)+ROUND(L31,2)</f>
        <v>27689.29</v>
      </c>
      <c r="M26" s="104" t="s">
        <v>19</v>
      </c>
      <c r="N26" s="104" t="s">
        <v>19</v>
      </c>
      <c r="O26" s="104" t="s">
        <v>19</v>
      </c>
      <c r="P26" s="104" t="s">
        <v>19</v>
      </c>
      <c r="Q26" s="104" t="s">
        <v>19</v>
      </c>
    </row>
    <row r="27" spans="1:17" ht="45" customHeight="1" x14ac:dyDescent="0.3">
      <c r="A27" s="107" t="s">
        <v>21</v>
      </c>
      <c r="B27" s="107" t="s">
        <v>81</v>
      </c>
      <c r="C27" s="107" t="s">
        <v>23</v>
      </c>
      <c r="D27" s="107" t="s">
        <v>82</v>
      </c>
      <c r="E27" s="108" t="s">
        <v>83</v>
      </c>
      <c r="F27" s="109">
        <f>P27</f>
        <v>80.599999999999994</v>
      </c>
      <c r="G27" s="107" t="s">
        <v>31</v>
      </c>
      <c r="H27" s="110">
        <v>97.13</v>
      </c>
      <c r="I27" s="110">
        <v>97.13</v>
      </c>
      <c r="J27" s="111">
        <v>0.27529999999999999</v>
      </c>
      <c r="K27" s="110">
        <f>ROUND(I27,2)+(ROUND(I27,2)*J27)</f>
        <v>123.869889</v>
      </c>
      <c r="L27" s="112">
        <f>ROUND(Q27,2)</f>
        <v>9983.92</v>
      </c>
      <c r="M27" s="107" t="s">
        <v>19</v>
      </c>
      <c r="N27" s="107" t="s">
        <v>84</v>
      </c>
      <c r="O27" s="107" t="s">
        <v>80</v>
      </c>
      <c r="P27" s="109">
        <v>80.599999999999994</v>
      </c>
      <c r="Q27" s="110">
        <f>ROUND(K27,2)*P27</f>
        <v>9983.9220000000005</v>
      </c>
    </row>
    <row r="28" spans="1:17" ht="45" customHeight="1" x14ac:dyDescent="0.3">
      <c r="A28" s="107" t="s">
        <v>21</v>
      </c>
      <c r="B28" s="107" t="s">
        <v>85</v>
      </c>
      <c r="C28" s="107" t="s">
        <v>23</v>
      </c>
      <c r="D28" s="107" t="s">
        <v>86</v>
      </c>
      <c r="E28" s="108" t="s">
        <v>87</v>
      </c>
      <c r="F28" s="109">
        <f>P28</f>
        <v>124</v>
      </c>
      <c r="G28" s="107" t="s">
        <v>88</v>
      </c>
      <c r="H28" s="110">
        <v>20.47</v>
      </c>
      <c r="I28" s="110">
        <v>20.47</v>
      </c>
      <c r="J28" s="111">
        <v>0.27529999999999999</v>
      </c>
      <c r="K28" s="110">
        <f>ROUND(I28,2)+(ROUND(I28,2)*J28)</f>
        <v>26.105390999999997</v>
      </c>
      <c r="L28" s="112">
        <f>ROUND(Q28,2)</f>
        <v>3237.64</v>
      </c>
      <c r="M28" s="107" t="s">
        <v>19</v>
      </c>
      <c r="N28" s="107" t="s">
        <v>84</v>
      </c>
      <c r="O28" s="107" t="s">
        <v>80</v>
      </c>
      <c r="P28" s="109">
        <v>124</v>
      </c>
      <c r="Q28" s="110">
        <f>ROUND(K28,2)*P28</f>
        <v>3237.64</v>
      </c>
    </row>
    <row r="29" spans="1:17" ht="45" customHeight="1" x14ac:dyDescent="0.3">
      <c r="A29" s="107" t="s">
        <v>21</v>
      </c>
      <c r="B29" s="107" t="s">
        <v>89</v>
      </c>
      <c r="C29" s="107" t="s">
        <v>23</v>
      </c>
      <c r="D29" s="107" t="s">
        <v>90</v>
      </c>
      <c r="E29" s="108" t="s">
        <v>91</v>
      </c>
      <c r="F29" s="109">
        <f>P29</f>
        <v>14.9</v>
      </c>
      <c r="G29" s="107" t="s">
        <v>88</v>
      </c>
      <c r="H29" s="110">
        <v>17.52</v>
      </c>
      <c r="I29" s="110">
        <v>17.52</v>
      </c>
      <c r="J29" s="111">
        <v>0.27529999999999999</v>
      </c>
      <c r="K29" s="110">
        <f>ROUND(I29,2)+(ROUND(I29,2)*J29)</f>
        <v>22.343256</v>
      </c>
      <c r="L29" s="112">
        <f>ROUND(Q29,2)</f>
        <v>332.87</v>
      </c>
      <c r="M29" s="107" t="s">
        <v>19</v>
      </c>
      <c r="N29" s="107" t="s">
        <v>84</v>
      </c>
      <c r="O29" s="107" t="s">
        <v>80</v>
      </c>
      <c r="P29" s="109">
        <v>14.9</v>
      </c>
      <c r="Q29" s="110">
        <f>ROUND(K29,2)*P29</f>
        <v>332.86599999999999</v>
      </c>
    </row>
    <row r="30" spans="1:17" ht="45" customHeight="1" x14ac:dyDescent="0.3">
      <c r="A30" s="107" t="s">
        <v>21</v>
      </c>
      <c r="B30" s="107" t="s">
        <v>92</v>
      </c>
      <c r="C30" s="107" t="s">
        <v>23</v>
      </c>
      <c r="D30" s="107" t="s">
        <v>93</v>
      </c>
      <c r="E30" s="108" t="s">
        <v>94</v>
      </c>
      <c r="F30" s="109">
        <f>P30</f>
        <v>6.05</v>
      </c>
      <c r="G30" s="107" t="s">
        <v>50</v>
      </c>
      <c r="H30" s="110">
        <v>709.46</v>
      </c>
      <c r="I30" s="110">
        <v>709.46</v>
      </c>
      <c r="J30" s="111">
        <v>0.27529999999999999</v>
      </c>
      <c r="K30" s="110">
        <f>ROUND(I30,2)+(ROUND(I30,2)*J30)</f>
        <v>904.77433800000006</v>
      </c>
      <c r="L30" s="112">
        <f>ROUND(Q30,2)</f>
        <v>5473.86</v>
      </c>
      <c r="M30" s="107" t="s">
        <v>19</v>
      </c>
      <c r="N30" s="107" t="s">
        <v>84</v>
      </c>
      <c r="O30" s="107" t="s">
        <v>80</v>
      </c>
      <c r="P30" s="109">
        <v>6.05</v>
      </c>
      <c r="Q30" s="110">
        <f>ROUND(K30,2)*P30</f>
        <v>5473.8584999999994</v>
      </c>
    </row>
    <row r="31" spans="1:17" ht="45" customHeight="1" x14ac:dyDescent="0.3">
      <c r="A31" s="107" t="s">
        <v>21</v>
      </c>
      <c r="B31" s="107" t="s">
        <v>95</v>
      </c>
      <c r="C31" s="107" t="s">
        <v>23</v>
      </c>
      <c r="D31" s="107" t="s">
        <v>96</v>
      </c>
      <c r="E31" s="108" t="s">
        <v>97</v>
      </c>
      <c r="F31" s="109">
        <f>P31</f>
        <v>60</v>
      </c>
      <c r="G31" s="107" t="s">
        <v>98</v>
      </c>
      <c r="H31" s="110">
        <v>113.19</v>
      </c>
      <c r="I31" s="110">
        <v>113.19</v>
      </c>
      <c r="J31" s="111">
        <v>0.27529999999999999</v>
      </c>
      <c r="K31" s="110">
        <f>ROUND(I31,2)+(ROUND(I31,2)*J31)</f>
        <v>144.35120699999999</v>
      </c>
      <c r="L31" s="112">
        <f>ROUND(Q31,2)</f>
        <v>8661</v>
      </c>
      <c r="M31" s="107" t="s">
        <v>19</v>
      </c>
      <c r="N31" s="107" t="s">
        <v>84</v>
      </c>
      <c r="O31" s="107" t="s">
        <v>80</v>
      </c>
      <c r="P31" s="109">
        <v>60</v>
      </c>
      <c r="Q31" s="110">
        <f>ROUND(K31,2)*P31</f>
        <v>8661</v>
      </c>
    </row>
    <row r="32" spans="1:17" ht="45" customHeight="1" x14ac:dyDescent="0.3">
      <c r="A32" s="104" t="s">
        <v>17</v>
      </c>
      <c r="B32" s="104" t="s">
        <v>84</v>
      </c>
      <c r="C32" s="104" t="s">
        <v>19</v>
      </c>
      <c r="D32" s="104" t="s">
        <v>19</v>
      </c>
      <c r="E32" s="105" t="s">
        <v>99</v>
      </c>
      <c r="F32" s="104" t="s">
        <v>19</v>
      </c>
      <c r="G32" s="104" t="s">
        <v>19</v>
      </c>
      <c r="H32" s="104" t="s">
        <v>19</v>
      </c>
      <c r="I32" s="104" t="s">
        <v>19</v>
      </c>
      <c r="J32" s="104" t="s">
        <v>19</v>
      </c>
      <c r="K32" s="104" t="s">
        <v>19</v>
      </c>
      <c r="L32" s="106">
        <f>ROUND(L33,2)+ROUND(L34,2)+ROUND(L35,2)+ROUND(L36,2)+ROUND(L37,2)</f>
        <v>224169.41</v>
      </c>
      <c r="M32" s="104" t="s">
        <v>19</v>
      </c>
      <c r="N32" s="104" t="s">
        <v>19</v>
      </c>
      <c r="O32" s="104" t="s">
        <v>19</v>
      </c>
      <c r="P32" s="104" t="s">
        <v>19</v>
      </c>
      <c r="Q32" s="104" t="s">
        <v>19</v>
      </c>
    </row>
    <row r="33" spans="1:17" ht="45" customHeight="1" x14ac:dyDescent="0.3">
      <c r="A33" s="107" t="s">
        <v>21</v>
      </c>
      <c r="B33" s="107" t="s">
        <v>100</v>
      </c>
      <c r="C33" s="107" t="s">
        <v>23</v>
      </c>
      <c r="D33" s="107" t="s">
        <v>101</v>
      </c>
      <c r="E33" s="108" t="s">
        <v>102</v>
      </c>
      <c r="F33" s="109">
        <f>P33</f>
        <v>80</v>
      </c>
      <c r="G33" s="107" t="s">
        <v>31</v>
      </c>
      <c r="H33" s="110">
        <v>81.17</v>
      </c>
      <c r="I33" s="110">
        <v>81.17</v>
      </c>
      <c r="J33" s="111">
        <v>0.27529999999999999</v>
      </c>
      <c r="K33" s="110">
        <f>ROUND(I33,2)+(ROUND(I33,2)*J33)</f>
        <v>103.51610100000001</v>
      </c>
      <c r="L33" s="112">
        <f>ROUND(Q33,2)</f>
        <v>8281.6</v>
      </c>
      <c r="M33" s="107" t="s">
        <v>19</v>
      </c>
      <c r="N33" s="107" t="s">
        <v>103</v>
      </c>
      <c r="O33" s="107" t="s">
        <v>99</v>
      </c>
      <c r="P33" s="109">
        <v>80</v>
      </c>
      <c r="Q33" s="110">
        <f>ROUND(K33,2)*P33</f>
        <v>8281.6</v>
      </c>
    </row>
    <row r="34" spans="1:17" ht="45" customHeight="1" x14ac:dyDescent="0.3">
      <c r="A34" s="107" t="s">
        <v>21</v>
      </c>
      <c r="B34" s="107" t="s">
        <v>104</v>
      </c>
      <c r="C34" s="107" t="s">
        <v>23</v>
      </c>
      <c r="D34" s="107" t="s">
        <v>105</v>
      </c>
      <c r="E34" s="108" t="s">
        <v>106</v>
      </c>
      <c r="F34" s="109">
        <f>P34</f>
        <v>888</v>
      </c>
      <c r="G34" s="107" t="s">
        <v>31</v>
      </c>
      <c r="H34" s="110">
        <v>170.96</v>
      </c>
      <c r="I34" s="110">
        <v>170.96</v>
      </c>
      <c r="J34" s="111">
        <v>0.27529999999999999</v>
      </c>
      <c r="K34" s="110">
        <f>ROUND(I34,2)+(ROUND(I34,2)*J34)</f>
        <v>218.02528800000002</v>
      </c>
      <c r="L34" s="112">
        <f>ROUND(Q34,2)</f>
        <v>193610.64</v>
      </c>
      <c r="M34" s="107" t="s">
        <v>19</v>
      </c>
      <c r="N34" s="107" t="s">
        <v>103</v>
      </c>
      <c r="O34" s="107" t="s">
        <v>99</v>
      </c>
      <c r="P34" s="109">
        <v>888</v>
      </c>
      <c r="Q34" s="110">
        <f>ROUND(K34,2)*P34</f>
        <v>193610.64</v>
      </c>
    </row>
    <row r="35" spans="1:17" ht="45" customHeight="1" x14ac:dyDescent="0.3">
      <c r="A35" s="107" t="s">
        <v>21</v>
      </c>
      <c r="B35" s="107" t="s">
        <v>107</v>
      </c>
      <c r="C35" s="107" t="s">
        <v>23</v>
      </c>
      <c r="D35" s="107" t="s">
        <v>108</v>
      </c>
      <c r="E35" s="108" t="s">
        <v>109</v>
      </c>
      <c r="F35" s="109">
        <f>P35</f>
        <v>181.81</v>
      </c>
      <c r="G35" s="107" t="s">
        <v>31</v>
      </c>
      <c r="H35" s="110">
        <v>12.91</v>
      </c>
      <c r="I35" s="110">
        <v>12.91</v>
      </c>
      <c r="J35" s="111">
        <v>0.27529999999999999</v>
      </c>
      <c r="K35" s="110">
        <f>ROUND(I35,2)+(ROUND(I35,2)*J35)</f>
        <v>16.464123000000001</v>
      </c>
      <c r="L35" s="112">
        <f>ROUND(Q35,2)</f>
        <v>2992.59</v>
      </c>
      <c r="M35" s="107" t="s">
        <v>19</v>
      </c>
      <c r="N35" s="107" t="s">
        <v>103</v>
      </c>
      <c r="O35" s="107" t="s">
        <v>99</v>
      </c>
      <c r="P35" s="109">
        <v>181.81</v>
      </c>
      <c r="Q35" s="110">
        <f>ROUND(K35,2)*P35</f>
        <v>2992.5926000000004</v>
      </c>
    </row>
    <row r="36" spans="1:17" ht="45" customHeight="1" x14ac:dyDescent="0.3">
      <c r="A36" s="107" t="s">
        <v>21</v>
      </c>
      <c r="B36" s="107" t="s">
        <v>110</v>
      </c>
      <c r="C36" s="107" t="s">
        <v>23</v>
      </c>
      <c r="D36" s="107" t="s">
        <v>111</v>
      </c>
      <c r="E36" s="108" t="s">
        <v>112</v>
      </c>
      <c r="F36" s="109">
        <f>P36</f>
        <v>181.81</v>
      </c>
      <c r="G36" s="107" t="s">
        <v>31</v>
      </c>
      <c r="H36" s="110">
        <v>69.489999999999995</v>
      </c>
      <c r="I36" s="110">
        <v>69.489999999999995</v>
      </c>
      <c r="J36" s="111">
        <v>0.27529999999999999</v>
      </c>
      <c r="K36" s="110">
        <f>ROUND(I36,2)+(ROUND(I36,2)*J36)</f>
        <v>88.620596999999989</v>
      </c>
      <c r="L36" s="112">
        <f>ROUND(Q36,2)</f>
        <v>16112</v>
      </c>
      <c r="M36" s="107" t="s">
        <v>19</v>
      </c>
      <c r="N36" s="107" t="s">
        <v>103</v>
      </c>
      <c r="O36" s="107" t="s">
        <v>99</v>
      </c>
      <c r="P36" s="109">
        <v>181.81</v>
      </c>
      <c r="Q36" s="110">
        <f>ROUND(K36,2)*P36</f>
        <v>16112.002200000001</v>
      </c>
    </row>
    <row r="37" spans="1:17" ht="45" customHeight="1" x14ac:dyDescent="0.3">
      <c r="A37" s="107" t="s">
        <v>21</v>
      </c>
      <c r="B37" s="107" t="s">
        <v>113</v>
      </c>
      <c r="C37" s="107" t="s">
        <v>23</v>
      </c>
      <c r="D37" s="107" t="s">
        <v>114</v>
      </c>
      <c r="E37" s="108" t="s">
        <v>115</v>
      </c>
      <c r="F37" s="109">
        <f>P37</f>
        <v>181.81</v>
      </c>
      <c r="G37" s="107" t="s">
        <v>31</v>
      </c>
      <c r="H37" s="110">
        <v>13.68</v>
      </c>
      <c r="I37" s="110">
        <v>13.68</v>
      </c>
      <c r="J37" s="111">
        <v>0.27529999999999999</v>
      </c>
      <c r="K37" s="110">
        <f>ROUND(I37,2)+(ROUND(I37,2)*J37)</f>
        <v>17.446103999999998</v>
      </c>
      <c r="L37" s="112">
        <f>ROUND(Q37,2)</f>
        <v>3172.58</v>
      </c>
      <c r="M37" s="107" t="s">
        <v>19</v>
      </c>
      <c r="N37" s="107" t="s">
        <v>103</v>
      </c>
      <c r="O37" s="107" t="s">
        <v>99</v>
      </c>
      <c r="P37" s="109">
        <v>181.81</v>
      </c>
      <c r="Q37" s="110">
        <f>ROUND(K37,2)*P37</f>
        <v>3172.5844999999999</v>
      </c>
    </row>
    <row r="38" spans="1:17" ht="45" customHeight="1" x14ac:dyDescent="0.3">
      <c r="A38" s="104" t="s">
        <v>17</v>
      </c>
      <c r="B38" s="104" t="s">
        <v>103</v>
      </c>
      <c r="C38" s="104" t="s">
        <v>19</v>
      </c>
      <c r="D38" s="104" t="s">
        <v>19</v>
      </c>
      <c r="E38" s="105" t="s">
        <v>116</v>
      </c>
      <c r="F38" s="104" t="s">
        <v>19</v>
      </c>
      <c r="G38" s="104" t="s">
        <v>19</v>
      </c>
      <c r="H38" s="104" t="s">
        <v>19</v>
      </c>
      <c r="I38" s="104" t="s">
        <v>19</v>
      </c>
      <c r="J38" s="104" t="s">
        <v>19</v>
      </c>
      <c r="K38" s="104" t="s">
        <v>19</v>
      </c>
      <c r="L38" s="106">
        <f>ROUND(L39,2)+ROUND(L40,2)</f>
        <v>8449.6</v>
      </c>
      <c r="M38" s="104" t="s">
        <v>19</v>
      </c>
      <c r="N38" s="104" t="s">
        <v>19</v>
      </c>
      <c r="O38" s="104" t="s">
        <v>19</v>
      </c>
      <c r="P38" s="104" t="s">
        <v>19</v>
      </c>
      <c r="Q38" s="104" t="s">
        <v>19</v>
      </c>
    </row>
    <row r="39" spans="1:17" ht="45" customHeight="1" x14ac:dyDescent="0.3">
      <c r="A39" s="107" t="s">
        <v>21</v>
      </c>
      <c r="B39" s="107" t="s">
        <v>117</v>
      </c>
      <c r="C39" s="107" t="s">
        <v>23</v>
      </c>
      <c r="D39" s="107" t="s">
        <v>118</v>
      </c>
      <c r="E39" s="108" t="s">
        <v>119</v>
      </c>
      <c r="F39" s="109">
        <f>P39</f>
        <v>160</v>
      </c>
      <c r="G39" s="107" t="s">
        <v>31</v>
      </c>
      <c r="H39" s="110">
        <v>4.59</v>
      </c>
      <c r="I39" s="110">
        <v>4.59</v>
      </c>
      <c r="J39" s="111">
        <v>0.27529999999999999</v>
      </c>
      <c r="K39" s="110">
        <f>ROUND(I39,2)+(ROUND(I39,2)*J39)</f>
        <v>5.8536269999999995</v>
      </c>
      <c r="L39" s="112">
        <f>ROUND(Q39,2)</f>
        <v>936</v>
      </c>
      <c r="M39" s="107" t="s">
        <v>19</v>
      </c>
      <c r="N39" s="107" t="s">
        <v>120</v>
      </c>
      <c r="O39" s="107" t="s">
        <v>116</v>
      </c>
      <c r="P39" s="109">
        <v>160</v>
      </c>
      <c r="Q39" s="110">
        <f>ROUND(K39,2)*P39</f>
        <v>936</v>
      </c>
    </row>
    <row r="40" spans="1:17" ht="45" customHeight="1" x14ac:dyDescent="0.3">
      <c r="A40" s="107" t="s">
        <v>21</v>
      </c>
      <c r="B40" s="107" t="s">
        <v>121</v>
      </c>
      <c r="C40" s="107" t="s">
        <v>23</v>
      </c>
      <c r="D40" s="107" t="s">
        <v>122</v>
      </c>
      <c r="E40" s="108" t="s">
        <v>123</v>
      </c>
      <c r="F40" s="109">
        <f>P40</f>
        <v>160</v>
      </c>
      <c r="G40" s="107" t="s">
        <v>31</v>
      </c>
      <c r="H40" s="110">
        <v>36.82</v>
      </c>
      <c r="I40" s="110">
        <v>36.82</v>
      </c>
      <c r="J40" s="111">
        <v>0.27529999999999999</v>
      </c>
      <c r="K40" s="110">
        <f>ROUND(I40,2)+(ROUND(I40,2)*J40)</f>
        <v>46.956546000000003</v>
      </c>
      <c r="L40" s="112">
        <f>ROUND(Q40,2)</f>
        <v>7513.6</v>
      </c>
      <c r="M40" s="107" t="s">
        <v>19</v>
      </c>
      <c r="N40" s="107" t="s">
        <v>120</v>
      </c>
      <c r="O40" s="107" t="s">
        <v>116</v>
      </c>
      <c r="P40" s="109">
        <v>160</v>
      </c>
      <c r="Q40" s="110">
        <f>ROUND(K40,2)*P40</f>
        <v>7513.6</v>
      </c>
    </row>
    <row r="41" spans="1:17" ht="45" customHeight="1" x14ac:dyDescent="0.3">
      <c r="A41" s="104" t="s">
        <v>17</v>
      </c>
      <c r="B41" s="104" t="s">
        <v>120</v>
      </c>
      <c r="C41" s="104" t="s">
        <v>19</v>
      </c>
      <c r="D41" s="104" t="s">
        <v>19</v>
      </c>
      <c r="E41" s="105" t="s">
        <v>124</v>
      </c>
      <c r="F41" s="104" t="s">
        <v>19</v>
      </c>
      <c r="G41" s="104" t="s">
        <v>19</v>
      </c>
      <c r="H41" s="104" t="s">
        <v>19</v>
      </c>
      <c r="I41" s="104" t="s">
        <v>19</v>
      </c>
      <c r="J41" s="104" t="s">
        <v>19</v>
      </c>
      <c r="K41" s="104" t="s">
        <v>19</v>
      </c>
      <c r="L41" s="106">
        <f>ROUND(L42,2)+ROUND(L43,2)</f>
        <v>28502.48</v>
      </c>
      <c r="M41" s="104" t="s">
        <v>19</v>
      </c>
      <c r="N41" s="104" t="s">
        <v>19</v>
      </c>
      <c r="O41" s="104" t="s">
        <v>19</v>
      </c>
      <c r="P41" s="104" t="s">
        <v>19</v>
      </c>
      <c r="Q41" s="104" t="s">
        <v>19</v>
      </c>
    </row>
    <row r="42" spans="1:17" ht="45" customHeight="1" x14ac:dyDescent="0.3">
      <c r="A42" s="107" t="s">
        <v>21</v>
      </c>
      <c r="B42" s="107" t="s">
        <v>125</v>
      </c>
      <c r="C42" s="107" t="s">
        <v>23</v>
      </c>
      <c r="D42" s="107" t="s">
        <v>126</v>
      </c>
      <c r="E42" s="108" t="s">
        <v>127</v>
      </c>
      <c r="F42" s="109">
        <f>P42</f>
        <v>160</v>
      </c>
      <c r="G42" s="107" t="s">
        <v>31</v>
      </c>
      <c r="H42" s="110">
        <v>10.39</v>
      </c>
      <c r="I42" s="110">
        <v>10.39</v>
      </c>
      <c r="J42" s="111">
        <v>0.27529999999999999</v>
      </c>
      <c r="K42" s="110">
        <f>ROUND(I42,2)+(ROUND(I42,2)*J42)</f>
        <v>13.250367000000001</v>
      </c>
      <c r="L42" s="112">
        <f>ROUND(Q42,2)</f>
        <v>2120</v>
      </c>
      <c r="M42" s="107" t="s">
        <v>19</v>
      </c>
      <c r="N42" s="107" t="s">
        <v>128</v>
      </c>
      <c r="O42" s="107" t="s">
        <v>124</v>
      </c>
      <c r="P42" s="109">
        <v>160</v>
      </c>
      <c r="Q42" s="110">
        <f>ROUND(K42,2)*P42</f>
        <v>2120</v>
      </c>
    </row>
    <row r="43" spans="1:17" ht="45" customHeight="1" x14ac:dyDescent="0.3">
      <c r="A43" s="107" t="s">
        <v>21</v>
      </c>
      <c r="B43" s="107" t="s">
        <v>129</v>
      </c>
      <c r="C43" s="107" t="s">
        <v>23</v>
      </c>
      <c r="D43" s="107" t="s">
        <v>130</v>
      </c>
      <c r="E43" s="108" t="s">
        <v>131</v>
      </c>
      <c r="F43" s="109">
        <f>P43</f>
        <v>888</v>
      </c>
      <c r="G43" s="107" t="s">
        <v>31</v>
      </c>
      <c r="H43" s="110">
        <v>23.3</v>
      </c>
      <c r="I43" s="110">
        <v>23.3</v>
      </c>
      <c r="J43" s="111">
        <v>0.27529999999999999</v>
      </c>
      <c r="K43" s="110">
        <f>ROUND(I43,2)+(ROUND(I43,2)*J43)</f>
        <v>29.714490000000001</v>
      </c>
      <c r="L43" s="112">
        <f>ROUND(Q43,2)</f>
        <v>26382.48</v>
      </c>
      <c r="M43" s="107" t="s">
        <v>19</v>
      </c>
      <c r="N43" s="107" t="s">
        <v>128</v>
      </c>
      <c r="O43" s="107" t="s">
        <v>124</v>
      </c>
      <c r="P43" s="109">
        <v>888</v>
      </c>
      <c r="Q43" s="110">
        <f>ROUND(K43,2)*P43</f>
        <v>26382.48</v>
      </c>
    </row>
    <row r="44" spans="1:17" ht="45" customHeight="1" x14ac:dyDescent="0.3">
      <c r="A44" s="104" t="s">
        <v>17</v>
      </c>
      <c r="B44" s="104" t="s">
        <v>128</v>
      </c>
      <c r="C44" s="104" t="s">
        <v>19</v>
      </c>
      <c r="D44" s="104" t="s">
        <v>19</v>
      </c>
      <c r="E44" s="105" t="s">
        <v>132</v>
      </c>
      <c r="F44" s="104" t="s">
        <v>19</v>
      </c>
      <c r="G44" s="104" t="s">
        <v>19</v>
      </c>
      <c r="H44" s="104" t="s">
        <v>19</v>
      </c>
      <c r="I44" s="104" t="s">
        <v>19</v>
      </c>
      <c r="J44" s="104" t="s">
        <v>19</v>
      </c>
      <c r="K44" s="104" t="s">
        <v>19</v>
      </c>
      <c r="L44" s="106">
        <f>ROUND(L45,2)</f>
        <v>5437.83</v>
      </c>
      <c r="M44" s="104" t="s">
        <v>19</v>
      </c>
      <c r="N44" s="104" t="s">
        <v>19</v>
      </c>
      <c r="O44" s="104" t="s">
        <v>19</v>
      </c>
      <c r="P44" s="104" t="s">
        <v>19</v>
      </c>
      <c r="Q44" s="104" t="s">
        <v>19</v>
      </c>
    </row>
    <row r="45" spans="1:17" ht="45" customHeight="1" x14ac:dyDescent="0.3">
      <c r="A45" s="107" t="s">
        <v>21</v>
      </c>
      <c r="B45" s="107" t="s">
        <v>133</v>
      </c>
      <c r="C45" s="107" t="s">
        <v>67</v>
      </c>
      <c r="D45" s="107" t="s">
        <v>134</v>
      </c>
      <c r="E45" s="108" t="s">
        <v>135</v>
      </c>
      <c r="F45" s="109">
        <f>P45</f>
        <v>1</v>
      </c>
      <c r="G45" s="107" t="s">
        <v>136</v>
      </c>
      <c r="H45" s="110">
        <v>4263.96</v>
      </c>
      <c r="I45" s="110">
        <v>4263.96</v>
      </c>
      <c r="J45" s="111">
        <v>0.27529999999999999</v>
      </c>
      <c r="K45" s="110">
        <f>ROUND(I45,2)+(ROUND(I45,2)*J45)</f>
        <v>5437.8281879999995</v>
      </c>
      <c r="L45" s="112">
        <f>ROUND(Q45,2)</f>
        <v>5437.83</v>
      </c>
      <c r="M45" s="107" t="s">
        <v>19</v>
      </c>
      <c r="N45" s="107" t="s">
        <v>137</v>
      </c>
      <c r="O45" s="107" t="s">
        <v>132</v>
      </c>
      <c r="P45" s="109">
        <v>1</v>
      </c>
      <c r="Q45" s="110">
        <f>ROUND(K45,2)*P45</f>
        <v>5437.83</v>
      </c>
    </row>
    <row r="46" spans="1:17" ht="45" customHeight="1" x14ac:dyDescent="0.3">
      <c r="A46" s="104" t="s">
        <v>17</v>
      </c>
      <c r="B46" s="104" t="s">
        <v>137</v>
      </c>
      <c r="C46" s="104" t="s">
        <v>19</v>
      </c>
      <c r="D46" s="104" t="s">
        <v>19</v>
      </c>
      <c r="E46" s="105" t="s">
        <v>46</v>
      </c>
      <c r="F46" s="104" t="s">
        <v>19</v>
      </c>
      <c r="G46" s="104" t="s">
        <v>19</v>
      </c>
      <c r="H46" s="104" t="s">
        <v>19</v>
      </c>
      <c r="I46" s="104" t="s">
        <v>19</v>
      </c>
      <c r="J46" s="104" t="s">
        <v>19</v>
      </c>
      <c r="K46" s="104" t="s">
        <v>19</v>
      </c>
      <c r="L46" s="106">
        <f>ROUND(L47,2)+ROUND(L48,2)+ROUND(L49,2)+ROUND(L50,2)</f>
        <v>4050.89</v>
      </c>
      <c r="M46" s="104" t="s">
        <v>19</v>
      </c>
      <c r="N46" s="104" t="s">
        <v>19</v>
      </c>
      <c r="O46" s="104" t="s">
        <v>19</v>
      </c>
      <c r="P46" s="104" t="s">
        <v>19</v>
      </c>
      <c r="Q46" s="104" t="s">
        <v>19</v>
      </c>
    </row>
    <row r="47" spans="1:17" ht="45" customHeight="1" x14ac:dyDescent="0.3">
      <c r="A47" s="107" t="s">
        <v>21</v>
      </c>
      <c r="B47" s="107" t="s">
        <v>138</v>
      </c>
      <c r="C47" s="107" t="s">
        <v>23</v>
      </c>
      <c r="D47" s="107" t="s">
        <v>139</v>
      </c>
      <c r="E47" s="108" t="s">
        <v>49</v>
      </c>
      <c r="F47" s="109">
        <f>P47</f>
        <v>10.5</v>
      </c>
      <c r="G47" s="107" t="s">
        <v>50</v>
      </c>
      <c r="H47" s="110">
        <v>53.17</v>
      </c>
      <c r="I47" s="110">
        <v>53.17</v>
      </c>
      <c r="J47" s="111">
        <v>0.27529999999999999</v>
      </c>
      <c r="K47" s="110">
        <f>ROUND(I47,2)+(ROUND(I47,2)*J47)</f>
        <v>67.807701000000009</v>
      </c>
      <c r="L47" s="112">
        <f>ROUND(Q47,2)</f>
        <v>712.01</v>
      </c>
      <c r="M47" s="107" t="s">
        <v>19</v>
      </c>
      <c r="N47" s="107" t="s">
        <v>140</v>
      </c>
      <c r="O47" s="107" t="s">
        <v>46</v>
      </c>
      <c r="P47" s="109">
        <v>10.5</v>
      </c>
      <c r="Q47" s="110">
        <f>ROUND(K47,2)*P47</f>
        <v>712.005</v>
      </c>
    </row>
    <row r="48" spans="1:17" ht="45" customHeight="1" x14ac:dyDescent="0.3">
      <c r="A48" s="107" t="s">
        <v>21</v>
      </c>
      <c r="B48" s="107" t="s">
        <v>141</v>
      </c>
      <c r="C48" s="107" t="s">
        <v>23</v>
      </c>
      <c r="D48" s="107" t="s">
        <v>142</v>
      </c>
      <c r="E48" s="108" t="s">
        <v>54</v>
      </c>
      <c r="F48" s="109">
        <f>P48</f>
        <v>30</v>
      </c>
      <c r="G48" s="107" t="s">
        <v>31</v>
      </c>
      <c r="H48" s="110">
        <v>0.59</v>
      </c>
      <c r="I48" s="110">
        <v>0.59</v>
      </c>
      <c r="J48" s="111">
        <v>0.27529999999999999</v>
      </c>
      <c r="K48" s="110">
        <f>ROUND(I48,2)+(ROUND(I48,2)*J48)</f>
        <v>0.75242699999999996</v>
      </c>
      <c r="L48" s="112">
        <f>ROUND(Q48,2)</f>
        <v>22.5</v>
      </c>
      <c r="M48" s="107" t="s">
        <v>19</v>
      </c>
      <c r="N48" s="107" t="s">
        <v>140</v>
      </c>
      <c r="O48" s="107" t="s">
        <v>46</v>
      </c>
      <c r="P48" s="109">
        <v>30</v>
      </c>
      <c r="Q48" s="110">
        <f>ROUND(K48,2)*P48</f>
        <v>22.5</v>
      </c>
    </row>
    <row r="49" spans="1:17" ht="45" customHeight="1" x14ac:dyDescent="0.3">
      <c r="A49" s="107" t="s">
        <v>21</v>
      </c>
      <c r="B49" s="107" t="s">
        <v>143</v>
      </c>
      <c r="C49" s="107" t="s">
        <v>23</v>
      </c>
      <c r="D49" s="107" t="s">
        <v>144</v>
      </c>
      <c r="E49" s="108" t="s">
        <v>57</v>
      </c>
      <c r="F49" s="109">
        <f>P49</f>
        <v>18</v>
      </c>
      <c r="G49" s="107" t="s">
        <v>31</v>
      </c>
      <c r="H49" s="110">
        <v>31.7</v>
      </c>
      <c r="I49" s="110">
        <v>31.7</v>
      </c>
      <c r="J49" s="111">
        <v>0.27529999999999999</v>
      </c>
      <c r="K49" s="110">
        <f>ROUND(I49,2)+(ROUND(I49,2)*J49)</f>
        <v>40.427009999999996</v>
      </c>
      <c r="L49" s="112">
        <f>ROUND(Q49,2)</f>
        <v>727.74</v>
      </c>
      <c r="M49" s="107" t="s">
        <v>19</v>
      </c>
      <c r="N49" s="107" t="s">
        <v>140</v>
      </c>
      <c r="O49" s="107" t="s">
        <v>46</v>
      </c>
      <c r="P49" s="109">
        <v>18</v>
      </c>
      <c r="Q49" s="110">
        <f>ROUND(K49,2)*P49</f>
        <v>727.74</v>
      </c>
    </row>
    <row r="50" spans="1:17" ht="45" customHeight="1" x14ac:dyDescent="0.3">
      <c r="A50" s="107" t="s">
        <v>21</v>
      </c>
      <c r="B50" s="107" t="s">
        <v>145</v>
      </c>
      <c r="C50" s="107" t="s">
        <v>23</v>
      </c>
      <c r="D50" s="107" t="s">
        <v>146</v>
      </c>
      <c r="E50" s="108" t="s">
        <v>60</v>
      </c>
      <c r="F50" s="109">
        <f>P50</f>
        <v>24</v>
      </c>
      <c r="G50" s="107" t="s">
        <v>31</v>
      </c>
      <c r="H50" s="110">
        <v>84.58</v>
      </c>
      <c r="I50" s="110">
        <v>84.58</v>
      </c>
      <c r="J50" s="111">
        <v>0.27529999999999999</v>
      </c>
      <c r="K50" s="110">
        <f>ROUND(I50,2)+(ROUND(I50,2)*J50)</f>
        <v>107.864874</v>
      </c>
      <c r="L50" s="112">
        <f>ROUND(Q50,2)</f>
        <v>2588.64</v>
      </c>
      <c r="M50" s="107" t="s">
        <v>19</v>
      </c>
      <c r="N50" s="107" t="s">
        <v>140</v>
      </c>
      <c r="O50" s="107" t="s">
        <v>46</v>
      </c>
      <c r="P50" s="109">
        <v>24</v>
      </c>
      <c r="Q50" s="110">
        <f>ROUND(K50,2)*P50</f>
        <v>2588.64</v>
      </c>
    </row>
    <row r="51" spans="1:17" ht="45" customHeight="1" x14ac:dyDescent="0.3">
      <c r="A51" s="104" t="s">
        <v>17</v>
      </c>
      <c r="B51" s="104" t="s">
        <v>140</v>
      </c>
      <c r="C51" s="104" t="s">
        <v>19</v>
      </c>
      <c r="D51" s="104" t="s">
        <v>19</v>
      </c>
      <c r="E51" s="105" t="s">
        <v>61</v>
      </c>
      <c r="F51" s="104" t="s">
        <v>19</v>
      </c>
      <c r="G51" s="104" t="s">
        <v>19</v>
      </c>
      <c r="H51" s="104" t="s">
        <v>19</v>
      </c>
      <c r="I51" s="104" t="s">
        <v>19</v>
      </c>
      <c r="J51" s="104" t="s">
        <v>19</v>
      </c>
      <c r="K51" s="104" t="s">
        <v>19</v>
      </c>
      <c r="L51" s="106">
        <f>ROUND(L52,2)+ROUND(L53,2)+ROUND(L54,2)+ROUND(L55,2)</f>
        <v>55661.06</v>
      </c>
      <c r="M51" s="104" t="s">
        <v>19</v>
      </c>
      <c r="N51" s="104" t="s">
        <v>19</v>
      </c>
      <c r="O51" s="104" t="s">
        <v>19</v>
      </c>
      <c r="P51" s="104" t="s">
        <v>19</v>
      </c>
      <c r="Q51" s="104" t="s">
        <v>19</v>
      </c>
    </row>
    <row r="52" spans="1:17" ht="45" customHeight="1" x14ac:dyDescent="0.3">
      <c r="A52" s="107" t="s">
        <v>21</v>
      </c>
      <c r="B52" s="107" t="s">
        <v>147</v>
      </c>
      <c r="C52" s="107" t="s">
        <v>23</v>
      </c>
      <c r="D52" s="107" t="s">
        <v>63</v>
      </c>
      <c r="E52" s="108" t="s">
        <v>64</v>
      </c>
      <c r="F52" s="109">
        <f>P52</f>
        <v>221</v>
      </c>
      <c r="G52" s="107" t="s">
        <v>31</v>
      </c>
      <c r="H52" s="110">
        <v>2.68</v>
      </c>
      <c r="I52" s="110">
        <v>2.68</v>
      </c>
      <c r="J52" s="111">
        <v>0.27529999999999999</v>
      </c>
      <c r="K52" s="110">
        <f>ROUND(I52,2)+(ROUND(I52,2)*J52)</f>
        <v>3.4178040000000003</v>
      </c>
      <c r="L52" s="112">
        <f>ROUND(Q52,2)</f>
        <v>755.82</v>
      </c>
      <c r="M52" s="107" t="s">
        <v>19</v>
      </c>
      <c r="N52" s="107" t="s">
        <v>148</v>
      </c>
      <c r="O52" s="107" t="s">
        <v>61</v>
      </c>
      <c r="P52" s="109">
        <v>221</v>
      </c>
      <c r="Q52" s="110">
        <f>ROUND(K52,2)*P52</f>
        <v>755.81999999999994</v>
      </c>
    </row>
    <row r="53" spans="1:17" ht="45" customHeight="1" x14ac:dyDescent="0.3">
      <c r="A53" s="107" t="s">
        <v>21</v>
      </c>
      <c r="B53" s="107" t="s">
        <v>149</v>
      </c>
      <c r="C53" s="107" t="s">
        <v>23</v>
      </c>
      <c r="D53" s="107" t="s">
        <v>56</v>
      </c>
      <c r="E53" s="108" t="s">
        <v>57</v>
      </c>
      <c r="F53" s="109">
        <f>P53</f>
        <v>221</v>
      </c>
      <c r="G53" s="107" t="s">
        <v>31</v>
      </c>
      <c r="H53" s="110">
        <v>34.270000000000003</v>
      </c>
      <c r="I53" s="110">
        <v>34.270000000000003</v>
      </c>
      <c r="J53" s="111">
        <v>0.27529999999999999</v>
      </c>
      <c r="K53" s="110">
        <f>ROUND(I53,2)+(ROUND(I53,2)*J53)</f>
        <v>43.704531000000003</v>
      </c>
      <c r="L53" s="112">
        <f>ROUND(Q53,2)</f>
        <v>9657.7000000000007</v>
      </c>
      <c r="M53" s="107" t="s">
        <v>19</v>
      </c>
      <c r="N53" s="107" t="s">
        <v>148</v>
      </c>
      <c r="O53" s="107" t="s">
        <v>61</v>
      </c>
      <c r="P53" s="109">
        <v>221</v>
      </c>
      <c r="Q53" s="110">
        <f>ROUND(K53,2)*P53</f>
        <v>9657.7000000000007</v>
      </c>
    </row>
    <row r="54" spans="1:17" ht="45" customHeight="1" x14ac:dyDescent="0.3">
      <c r="A54" s="107" t="s">
        <v>21</v>
      </c>
      <c r="B54" s="107" t="s">
        <v>150</v>
      </c>
      <c r="C54" s="107" t="s">
        <v>23</v>
      </c>
      <c r="D54" s="107" t="s">
        <v>151</v>
      </c>
      <c r="E54" s="108" t="s">
        <v>152</v>
      </c>
      <c r="F54" s="109">
        <f>P54</f>
        <v>221</v>
      </c>
      <c r="G54" s="107" t="s">
        <v>31</v>
      </c>
      <c r="H54" s="110">
        <v>94.37</v>
      </c>
      <c r="I54" s="110">
        <v>94.37</v>
      </c>
      <c r="J54" s="111">
        <v>0.27529999999999999</v>
      </c>
      <c r="K54" s="110">
        <f>ROUND(I54,2)+(ROUND(I54,2)*J54)</f>
        <v>120.35006100000001</v>
      </c>
      <c r="L54" s="112">
        <f>ROUND(Q54,2)</f>
        <v>26597.35</v>
      </c>
      <c r="M54" s="107" t="s">
        <v>19</v>
      </c>
      <c r="N54" s="107" t="s">
        <v>148</v>
      </c>
      <c r="O54" s="107" t="s">
        <v>61</v>
      </c>
      <c r="P54" s="109">
        <v>221</v>
      </c>
      <c r="Q54" s="110">
        <f>ROUND(K54,2)*P54</f>
        <v>26597.35</v>
      </c>
    </row>
    <row r="55" spans="1:17" ht="45" customHeight="1" x14ac:dyDescent="0.3">
      <c r="A55" s="107" t="s">
        <v>21</v>
      </c>
      <c r="B55" s="107" t="s">
        <v>153</v>
      </c>
      <c r="C55" s="107" t="s">
        <v>23</v>
      </c>
      <c r="D55" s="107" t="s">
        <v>154</v>
      </c>
      <c r="E55" s="108" t="s">
        <v>155</v>
      </c>
      <c r="F55" s="109">
        <f>P55</f>
        <v>221</v>
      </c>
      <c r="G55" s="107" t="s">
        <v>31</v>
      </c>
      <c r="H55" s="110">
        <v>66.17</v>
      </c>
      <c r="I55" s="110">
        <v>66.17</v>
      </c>
      <c r="J55" s="111">
        <v>0.27529999999999999</v>
      </c>
      <c r="K55" s="110">
        <f>ROUND(I55,2)+(ROUND(I55,2)*J55)</f>
        <v>84.386600999999999</v>
      </c>
      <c r="L55" s="112">
        <f>ROUND(Q55,2)</f>
        <v>18650.189999999999</v>
      </c>
      <c r="M55" s="107" t="s">
        <v>19</v>
      </c>
      <c r="N55" s="107" t="s">
        <v>148</v>
      </c>
      <c r="O55" s="107" t="s">
        <v>61</v>
      </c>
      <c r="P55" s="109">
        <v>221</v>
      </c>
      <c r="Q55" s="110">
        <f>ROUND(K55,2)*P55</f>
        <v>18650.189999999999</v>
      </c>
    </row>
    <row r="56" spans="1:17" ht="45" customHeight="1" x14ac:dyDescent="0.3">
      <c r="A56" s="104" t="s">
        <v>17</v>
      </c>
      <c r="B56" s="104" t="s">
        <v>148</v>
      </c>
      <c r="C56" s="104" t="s">
        <v>19</v>
      </c>
      <c r="D56" s="104" t="s">
        <v>19</v>
      </c>
      <c r="E56" s="105" t="s">
        <v>132</v>
      </c>
      <c r="F56" s="104" t="s">
        <v>19</v>
      </c>
      <c r="G56" s="104" t="s">
        <v>19</v>
      </c>
      <c r="H56" s="104" t="s">
        <v>19</v>
      </c>
      <c r="I56" s="104" t="s">
        <v>19</v>
      </c>
      <c r="J56" s="104" t="s">
        <v>19</v>
      </c>
      <c r="K56" s="104" t="s">
        <v>19</v>
      </c>
      <c r="L56" s="106">
        <f>ROUND(L57,2)</f>
        <v>5220.6400000000003</v>
      </c>
      <c r="M56" s="104" t="s">
        <v>19</v>
      </c>
      <c r="N56" s="104" t="s">
        <v>19</v>
      </c>
      <c r="O56" s="104" t="s">
        <v>19</v>
      </c>
      <c r="P56" s="104" t="s">
        <v>19</v>
      </c>
      <c r="Q56" s="104" t="s">
        <v>19</v>
      </c>
    </row>
    <row r="57" spans="1:17" ht="45" customHeight="1" x14ac:dyDescent="0.3">
      <c r="A57" s="107" t="s">
        <v>21</v>
      </c>
      <c r="B57" s="107" t="s">
        <v>156</v>
      </c>
      <c r="C57" s="107" t="s">
        <v>67</v>
      </c>
      <c r="D57" s="107" t="s">
        <v>157</v>
      </c>
      <c r="E57" s="108" t="s">
        <v>158</v>
      </c>
      <c r="F57" s="109">
        <f>P57</f>
        <v>1</v>
      </c>
      <c r="G57" s="107" t="s">
        <v>25</v>
      </c>
      <c r="H57" s="110">
        <v>4093.66</v>
      </c>
      <c r="I57" s="110">
        <v>4093.66</v>
      </c>
      <c r="J57" s="111">
        <v>0.27529999999999999</v>
      </c>
      <c r="K57" s="110">
        <f>ROUND(I57,2)+(ROUND(I57,2)*J57)</f>
        <v>5220.6445979999999</v>
      </c>
      <c r="L57" s="112">
        <f>ROUND(Q57,2)</f>
        <v>5220.6400000000003</v>
      </c>
      <c r="M57" s="107" t="s">
        <v>19</v>
      </c>
      <c r="N57" s="107" t="s">
        <v>159</v>
      </c>
      <c r="O57" s="107" t="s">
        <v>132</v>
      </c>
      <c r="P57" s="109">
        <v>1</v>
      </c>
      <c r="Q57" s="110">
        <f>ROUND(K57,2)*P57</f>
        <v>5220.6400000000003</v>
      </c>
    </row>
    <row r="58" spans="1:17" ht="45" customHeight="1" x14ac:dyDescent="0.3">
      <c r="A58" s="104" t="s">
        <v>17</v>
      </c>
      <c r="B58" s="104" t="s">
        <v>159</v>
      </c>
      <c r="C58" s="104" t="s">
        <v>19</v>
      </c>
      <c r="D58" s="104" t="s">
        <v>19</v>
      </c>
      <c r="E58" s="105" t="s">
        <v>46</v>
      </c>
      <c r="F58" s="104" t="s">
        <v>19</v>
      </c>
      <c r="G58" s="104" t="s">
        <v>19</v>
      </c>
      <c r="H58" s="104" t="s">
        <v>19</v>
      </c>
      <c r="I58" s="104" t="s">
        <v>19</v>
      </c>
      <c r="J58" s="104" t="s">
        <v>19</v>
      </c>
      <c r="K58" s="104" t="s">
        <v>19</v>
      </c>
      <c r="L58" s="106">
        <f>ROUND(L59,2)+ROUND(L60,2)+ROUND(L61,2)+ROUND(L62,2)</f>
        <v>3861.26</v>
      </c>
      <c r="M58" s="104" t="s">
        <v>19</v>
      </c>
      <c r="N58" s="104" t="s">
        <v>19</v>
      </c>
      <c r="O58" s="104" t="s">
        <v>19</v>
      </c>
      <c r="P58" s="104" t="s">
        <v>19</v>
      </c>
      <c r="Q58" s="104" t="s">
        <v>19</v>
      </c>
    </row>
    <row r="59" spans="1:17" ht="45" customHeight="1" x14ac:dyDescent="0.3">
      <c r="A59" s="107" t="s">
        <v>21</v>
      </c>
      <c r="B59" s="107" t="s">
        <v>160</v>
      </c>
      <c r="C59" s="107" t="s">
        <v>23</v>
      </c>
      <c r="D59" s="107" t="s">
        <v>139</v>
      </c>
      <c r="E59" s="108" t="s">
        <v>49</v>
      </c>
      <c r="F59" s="109">
        <f>P59</f>
        <v>8.75</v>
      </c>
      <c r="G59" s="107" t="s">
        <v>50</v>
      </c>
      <c r="H59" s="110">
        <v>78</v>
      </c>
      <c r="I59" s="110">
        <v>78</v>
      </c>
      <c r="J59" s="111">
        <v>0.27529999999999999</v>
      </c>
      <c r="K59" s="110">
        <f>ROUND(I59,2)+(ROUND(I59,2)*J59)</f>
        <v>99.473399999999998</v>
      </c>
      <c r="L59" s="112">
        <f>ROUND(Q59,2)</f>
        <v>870.36</v>
      </c>
      <c r="M59" s="107" t="s">
        <v>19</v>
      </c>
      <c r="N59" s="107" t="s">
        <v>161</v>
      </c>
      <c r="O59" s="107" t="s">
        <v>46</v>
      </c>
      <c r="P59" s="109">
        <v>8.75</v>
      </c>
      <c r="Q59" s="110">
        <f>ROUND(K59,2)*P59</f>
        <v>870.36249999999995</v>
      </c>
    </row>
    <row r="60" spans="1:17" ht="45" customHeight="1" x14ac:dyDescent="0.3">
      <c r="A60" s="107" t="s">
        <v>21</v>
      </c>
      <c r="B60" s="107" t="s">
        <v>162</v>
      </c>
      <c r="C60" s="107" t="s">
        <v>23</v>
      </c>
      <c r="D60" s="107" t="s">
        <v>142</v>
      </c>
      <c r="E60" s="108" t="s">
        <v>54</v>
      </c>
      <c r="F60" s="109">
        <f>P60</f>
        <v>25</v>
      </c>
      <c r="G60" s="107" t="s">
        <v>31</v>
      </c>
      <c r="H60" s="110">
        <v>0.63</v>
      </c>
      <c r="I60" s="110">
        <v>0.63</v>
      </c>
      <c r="J60" s="111">
        <v>0.27529999999999999</v>
      </c>
      <c r="K60" s="110">
        <f>ROUND(I60,2)+(ROUND(I60,2)*J60)</f>
        <v>0.80343900000000001</v>
      </c>
      <c r="L60" s="112">
        <f>ROUND(Q60,2)</f>
        <v>20</v>
      </c>
      <c r="M60" s="107" t="s">
        <v>19</v>
      </c>
      <c r="N60" s="107" t="s">
        <v>161</v>
      </c>
      <c r="O60" s="107" t="s">
        <v>46</v>
      </c>
      <c r="P60" s="109">
        <v>25</v>
      </c>
      <c r="Q60" s="110">
        <f>ROUND(K60,2)*P60</f>
        <v>20</v>
      </c>
    </row>
    <row r="61" spans="1:17" ht="45" customHeight="1" x14ac:dyDescent="0.3">
      <c r="A61" s="107" t="s">
        <v>21</v>
      </c>
      <c r="B61" s="107" t="s">
        <v>163</v>
      </c>
      <c r="C61" s="107" t="s">
        <v>23</v>
      </c>
      <c r="D61" s="107" t="s">
        <v>144</v>
      </c>
      <c r="E61" s="108" t="s">
        <v>57</v>
      </c>
      <c r="F61" s="109">
        <f>P61</f>
        <v>15</v>
      </c>
      <c r="G61" s="107" t="s">
        <v>31</v>
      </c>
      <c r="H61" s="110">
        <v>34.270000000000003</v>
      </c>
      <c r="I61" s="110">
        <v>34.270000000000003</v>
      </c>
      <c r="J61" s="111">
        <v>0.27529999999999999</v>
      </c>
      <c r="K61" s="110">
        <f>ROUND(I61,2)+(ROUND(I61,2)*J61)</f>
        <v>43.704531000000003</v>
      </c>
      <c r="L61" s="112">
        <f>ROUND(Q61,2)</f>
        <v>655.5</v>
      </c>
      <c r="M61" s="107" t="s">
        <v>19</v>
      </c>
      <c r="N61" s="107" t="s">
        <v>161</v>
      </c>
      <c r="O61" s="107" t="s">
        <v>46</v>
      </c>
      <c r="P61" s="109">
        <v>15</v>
      </c>
      <c r="Q61" s="110">
        <f>ROUND(K61,2)*P61</f>
        <v>655.5</v>
      </c>
    </row>
    <row r="62" spans="1:17" ht="45" customHeight="1" x14ac:dyDescent="0.3">
      <c r="A62" s="107" t="s">
        <v>21</v>
      </c>
      <c r="B62" s="107" t="s">
        <v>164</v>
      </c>
      <c r="C62" s="107" t="s">
        <v>23</v>
      </c>
      <c r="D62" s="107" t="s">
        <v>146</v>
      </c>
      <c r="E62" s="108" t="s">
        <v>60</v>
      </c>
      <c r="F62" s="109">
        <f>P62</f>
        <v>20</v>
      </c>
      <c r="G62" s="107" t="s">
        <v>31</v>
      </c>
      <c r="H62" s="110">
        <v>90.78</v>
      </c>
      <c r="I62" s="110">
        <v>90.78</v>
      </c>
      <c r="J62" s="111">
        <v>0.27529999999999999</v>
      </c>
      <c r="K62" s="110">
        <f>ROUND(I62,2)+(ROUND(I62,2)*J62)</f>
        <v>115.77173400000001</v>
      </c>
      <c r="L62" s="112">
        <f>ROUND(Q62,2)</f>
        <v>2315.4</v>
      </c>
      <c r="M62" s="107" t="s">
        <v>19</v>
      </c>
      <c r="N62" s="107" t="s">
        <v>161</v>
      </c>
      <c r="O62" s="107" t="s">
        <v>46</v>
      </c>
      <c r="P62" s="109">
        <v>20</v>
      </c>
      <c r="Q62" s="110">
        <f>ROUND(K62,2)*P62</f>
        <v>2315.4</v>
      </c>
    </row>
    <row r="63" spans="1:17" ht="45" customHeight="1" x14ac:dyDescent="0.3">
      <c r="A63" s="104" t="s">
        <v>17</v>
      </c>
      <c r="B63" s="104" t="s">
        <v>161</v>
      </c>
      <c r="C63" s="104" t="s">
        <v>19</v>
      </c>
      <c r="D63" s="104" t="s">
        <v>19</v>
      </c>
      <c r="E63" s="105" t="s">
        <v>61</v>
      </c>
      <c r="F63" s="104" t="s">
        <v>19</v>
      </c>
      <c r="G63" s="104" t="s">
        <v>19</v>
      </c>
      <c r="H63" s="104" t="s">
        <v>19</v>
      </c>
      <c r="I63" s="104" t="s">
        <v>19</v>
      </c>
      <c r="J63" s="104" t="s">
        <v>19</v>
      </c>
      <c r="K63" s="104" t="s">
        <v>19</v>
      </c>
      <c r="L63" s="106">
        <f>ROUND(L64,2)+ROUND(L65,2)+ROUND(L66,2)+ROUND(L67,2)</f>
        <v>129019.76000000001</v>
      </c>
      <c r="M63" s="104" t="s">
        <v>19</v>
      </c>
      <c r="N63" s="104" t="s">
        <v>19</v>
      </c>
      <c r="O63" s="104" t="s">
        <v>19</v>
      </c>
      <c r="P63" s="104" t="s">
        <v>19</v>
      </c>
      <c r="Q63" s="104" t="s">
        <v>19</v>
      </c>
    </row>
    <row r="64" spans="1:17" ht="45" customHeight="1" x14ac:dyDescent="0.3">
      <c r="A64" s="107" t="s">
        <v>21</v>
      </c>
      <c r="B64" s="107" t="s">
        <v>165</v>
      </c>
      <c r="C64" s="107" t="s">
        <v>23</v>
      </c>
      <c r="D64" s="107" t="s">
        <v>166</v>
      </c>
      <c r="E64" s="108" t="s">
        <v>64</v>
      </c>
      <c r="F64" s="109">
        <f>P64</f>
        <v>142.83000000000001</v>
      </c>
      <c r="G64" s="107" t="s">
        <v>31</v>
      </c>
      <c r="H64" s="110">
        <v>2.68</v>
      </c>
      <c r="I64" s="110">
        <v>2.68</v>
      </c>
      <c r="J64" s="111">
        <v>0.27529999999999999</v>
      </c>
      <c r="K64" s="110">
        <f>ROUND(I64,2)+(ROUND(I64,2)*J64)</f>
        <v>3.4178040000000003</v>
      </c>
      <c r="L64" s="112">
        <f>ROUND(Q64,2)</f>
        <v>488.48</v>
      </c>
      <c r="M64" s="107" t="s">
        <v>19</v>
      </c>
      <c r="N64" s="107" t="s">
        <v>167</v>
      </c>
      <c r="O64" s="107" t="s">
        <v>61</v>
      </c>
      <c r="P64" s="109">
        <v>142.83000000000001</v>
      </c>
      <c r="Q64" s="110">
        <f>ROUND(K64,2)*P64</f>
        <v>488.47860000000003</v>
      </c>
    </row>
    <row r="65" spans="1:17" ht="45" customHeight="1" x14ac:dyDescent="0.3">
      <c r="A65" s="107" t="s">
        <v>21</v>
      </c>
      <c r="B65" s="107" t="s">
        <v>168</v>
      </c>
      <c r="C65" s="107" t="s">
        <v>23</v>
      </c>
      <c r="D65" s="107" t="s">
        <v>144</v>
      </c>
      <c r="E65" s="108" t="s">
        <v>57</v>
      </c>
      <c r="F65" s="109">
        <f>P65</f>
        <v>142.83000000000001</v>
      </c>
      <c r="G65" s="107" t="s">
        <v>31</v>
      </c>
      <c r="H65" s="110">
        <v>34.270000000000003</v>
      </c>
      <c r="I65" s="110">
        <v>34.270000000000003</v>
      </c>
      <c r="J65" s="111">
        <v>0.27529999999999999</v>
      </c>
      <c r="K65" s="110">
        <f>ROUND(I65,2)+(ROUND(I65,2)*J65)</f>
        <v>43.704531000000003</v>
      </c>
      <c r="L65" s="112">
        <f>ROUND(Q65,2)</f>
        <v>6241.67</v>
      </c>
      <c r="M65" s="107" t="s">
        <v>19</v>
      </c>
      <c r="N65" s="107" t="s">
        <v>167</v>
      </c>
      <c r="O65" s="107" t="s">
        <v>61</v>
      </c>
      <c r="P65" s="109">
        <v>142.83000000000001</v>
      </c>
      <c r="Q65" s="110">
        <f>ROUND(K65,2)*P65</f>
        <v>6241.6710000000012</v>
      </c>
    </row>
    <row r="66" spans="1:17" ht="45" customHeight="1" x14ac:dyDescent="0.3">
      <c r="A66" s="107" t="s">
        <v>21</v>
      </c>
      <c r="B66" s="107" t="s">
        <v>169</v>
      </c>
      <c r="C66" s="107" t="s">
        <v>23</v>
      </c>
      <c r="D66" s="107" t="s">
        <v>170</v>
      </c>
      <c r="E66" s="108" t="s">
        <v>171</v>
      </c>
      <c r="F66" s="109">
        <f>P66</f>
        <v>142.83000000000001</v>
      </c>
      <c r="G66" s="107" t="s">
        <v>31</v>
      </c>
      <c r="H66" s="110">
        <v>58.14</v>
      </c>
      <c r="I66" s="110">
        <v>58.14</v>
      </c>
      <c r="J66" s="111">
        <v>0.27529999999999999</v>
      </c>
      <c r="K66" s="110">
        <f>ROUND(I66,2)+(ROUND(I66,2)*J66)</f>
        <v>74.145942000000005</v>
      </c>
      <c r="L66" s="112">
        <f>ROUND(Q66,2)</f>
        <v>10590.84</v>
      </c>
      <c r="M66" s="107" t="s">
        <v>19</v>
      </c>
      <c r="N66" s="107" t="s">
        <v>167</v>
      </c>
      <c r="O66" s="107" t="s">
        <v>61</v>
      </c>
      <c r="P66" s="109">
        <v>142.83000000000001</v>
      </c>
      <c r="Q66" s="110">
        <f>ROUND(K66,2)*P66</f>
        <v>10590.844500000001</v>
      </c>
    </row>
    <row r="67" spans="1:17" ht="45" customHeight="1" x14ac:dyDescent="0.3">
      <c r="A67" s="107" t="s">
        <v>21</v>
      </c>
      <c r="B67" s="107" t="s">
        <v>172</v>
      </c>
      <c r="C67" s="107" t="s">
        <v>23</v>
      </c>
      <c r="D67" s="107" t="s">
        <v>173</v>
      </c>
      <c r="E67" s="108" t="s">
        <v>174</v>
      </c>
      <c r="F67" s="109">
        <f>P67</f>
        <v>142.83000000000001</v>
      </c>
      <c r="G67" s="107" t="s">
        <v>31</v>
      </c>
      <c r="H67" s="110">
        <v>613.22</v>
      </c>
      <c r="I67" s="110">
        <v>613.22</v>
      </c>
      <c r="J67" s="111">
        <v>0.27529999999999999</v>
      </c>
      <c r="K67" s="110">
        <f>ROUND(I67,2)+(ROUND(I67,2)*J67)</f>
        <v>782.03946600000006</v>
      </c>
      <c r="L67" s="112">
        <f>ROUND(Q67,2)</f>
        <v>111698.77</v>
      </c>
      <c r="M67" s="107" t="s">
        <v>19</v>
      </c>
      <c r="N67" s="107" t="s">
        <v>167</v>
      </c>
      <c r="O67" s="107" t="s">
        <v>61</v>
      </c>
      <c r="P67" s="109">
        <v>142.83000000000001</v>
      </c>
      <c r="Q67" s="110">
        <f>ROUND(K67,2)*P67</f>
        <v>111698.77320000001</v>
      </c>
    </row>
    <row r="68" spans="1:17" ht="45" customHeight="1" x14ac:dyDescent="0.3">
      <c r="A68" s="104" t="s">
        <v>17</v>
      </c>
      <c r="B68" s="104" t="s">
        <v>167</v>
      </c>
      <c r="C68" s="104" t="s">
        <v>19</v>
      </c>
      <c r="D68" s="104" t="s">
        <v>19</v>
      </c>
      <c r="E68" s="105" t="s">
        <v>132</v>
      </c>
      <c r="F68" s="104" t="s">
        <v>19</v>
      </c>
      <c r="G68" s="104" t="s">
        <v>19</v>
      </c>
      <c r="H68" s="104" t="s">
        <v>19</v>
      </c>
      <c r="I68" s="104" t="s">
        <v>19</v>
      </c>
      <c r="J68" s="104" t="s">
        <v>19</v>
      </c>
      <c r="K68" s="104" t="s">
        <v>19</v>
      </c>
      <c r="L68" s="106">
        <f>ROUND(L69,2)+ROUND(L70,2)+ROUND(L71,2)+ROUND(L72,2)+ROUND(L73,2)</f>
        <v>57771.100000000006</v>
      </c>
      <c r="M68" s="104" t="s">
        <v>19</v>
      </c>
      <c r="N68" s="104" t="s">
        <v>19</v>
      </c>
      <c r="O68" s="104" t="s">
        <v>19</v>
      </c>
      <c r="P68" s="104" t="s">
        <v>19</v>
      </c>
      <c r="Q68" s="104" t="s">
        <v>19</v>
      </c>
    </row>
    <row r="69" spans="1:17" ht="45" customHeight="1" x14ac:dyDescent="0.3">
      <c r="A69" s="107" t="s">
        <v>21</v>
      </c>
      <c r="B69" s="107" t="s">
        <v>175</v>
      </c>
      <c r="C69" s="107" t="s">
        <v>67</v>
      </c>
      <c r="D69" s="107" t="s">
        <v>176</v>
      </c>
      <c r="E69" s="108" t="s">
        <v>177</v>
      </c>
      <c r="F69" s="109">
        <f>P69</f>
        <v>1</v>
      </c>
      <c r="G69" s="107" t="s">
        <v>25</v>
      </c>
      <c r="H69" s="110">
        <v>13000</v>
      </c>
      <c r="I69" s="110">
        <v>13000</v>
      </c>
      <c r="J69" s="111">
        <v>0.27529999999999999</v>
      </c>
      <c r="K69" s="110">
        <f>ROUND(I69,2)+(ROUND(I69,2)*J69)</f>
        <v>16578.900000000001</v>
      </c>
      <c r="L69" s="112">
        <f>ROUND(Q69,2)</f>
        <v>16578.900000000001</v>
      </c>
      <c r="M69" s="107" t="s">
        <v>19</v>
      </c>
      <c r="N69" s="107" t="s">
        <v>178</v>
      </c>
      <c r="O69" s="107" t="s">
        <v>132</v>
      </c>
      <c r="P69" s="109">
        <v>1</v>
      </c>
      <c r="Q69" s="110">
        <f>ROUND(K69,2)*P69</f>
        <v>16578.900000000001</v>
      </c>
    </row>
    <row r="70" spans="1:17" ht="45" customHeight="1" x14ac:dyDescent="0.3">
      <c r="A70" s="107" t="s">
        <v>21</v>
      </c>
      <c r="B70" s="107" t="s">
        <v>179</v>
      </c>
      <c r="C70" s="107" t="s">
        <v>67</v>
      </c>
      <c r="D70" s="107" t="s">
        <v>180</v>
      </c>
      <c r="E70" s="108" t="s">
        <v>181</v>
      </c>
      <c r="F70" s="109">
        <f>P70</f>
        <v>2</v>
      </c>
      <c r="G70" s="107" t="s">
        <v>25</v>
      </c>
      <c r="H70" s="110">
        <v>1950</v>
      </c>
      <c r="I70" s="110">
        <v>1950</v>
      </c>
      <c r="J70" s="111">
        <v>0.27529999999999999</v>
      </c>
      <c r="K70" s="110">
        <f>ROUND(I70,2)+(ROUND(I70,2)*J70)</f>
        <v>2486.835</v>
      </c>
      <c r="L70" s="112">
        <f>ROUND(Q70,2)</f>
        <v>4973.68</v>
      </c>
      <c r="M70" s="107" t="s">
        <v>19</v>
      </c>
      <c r="N70" s="107" t="s">
        <v>178</v>
      </c>
      <c r="O70" s="107" t="s">
        <v>132</v>
      </c>
      <c r="P70" s="109">
        <v>2</v>
      </c>
      <c r="Q70" s="110">
        <f>ROUND(K70,2)*P70</f>
        <v>4973.68</v>
      </c>
    </row>
    <row r="71" spans="1:17" ht="45" customHeight="1" x14ac:dyDescent="0.3">
      <c r="A71" s="107" t="s">
        <v>21</v>
      </c>
      <c r="B71" s="107" t="s">
        <v>182</v>
      </c>
      <c r="C71" s="107" t="s">
        <v>67</v>
      </c>
      <c r="D71" s="107" t="s">
        <v>183</v>
      </c>
      <c r="E71" s="108" t="s">
        <v>184</v>
      </c>
      <c r="F71" s="109">
        <f>P71</f>
        <v>1</v>
      </c>
      <c r="G71" s="107" t="s">
        <v>25</v>
      </c>
      <c r="H71" s="110">
        <v>13500</v>
      </c>
      <c r="I71" s="110">
        <v>13500</v>
      </c>
      <c r="J71" s="111">
        <v>0.27529999999999999</v>
      </c>
      <c r="K71" s="110">
        <f>ROUND(I71,2)+(ROUND(I71,2)*J71)</f>
        <v>17216.55</v>
      </c>
      <c r="L71" s="112">
        <f>ROUND(Q71,2)</f>
        <v>17216.55</v>
      </c>
      <c r="M71" s="107" t="s">
        <v>19</v>
      </c>
      <c r="N71" s="107" t="s">
        <v>178</v>
      </c>
      <c r="O71" s="107" t="s">
        <v>132</v>
      </c>
      <c r="P71" s="109">
        <v>1</v>
      </c>
      <c r="Q71" s="110">
        <f>ROUND(K71,2)*P71</f>
        <v>17216.55</v>
      </c>
    </row>
    <row r="72" spans="1:17" ht="45" customHeight="1" x14ac:dyDescent="0.3">
      <c r="A72" s="107" t="s">
        <v>21</v>
      </c>
      <c r="B72" s="107" t="s">
        <v>185</v>
      </c>
      <c r="C72" s="107" t="s">
        <v>67</v>
      </c>
      <c r="D72" s="107" t="s">
        <v>186</v>
      </c>
      <c r="E72" s="108" t="s">
        <v>187</v>
      </c>
      <c r="F72" s="109">
        <f>P72</f>
        <v>1</v>
      </c>
      <c r="G72" s="107" t="s">
        <v>25</v>
      </c>
      <c r="H72" s="110">
        <v>4700</v>
      </c>
      <c r="I72" s="110">
        <v>4700</v>
      </c>
      <c r="J72" s="111">
        <v>0.27529999999999999</v>
      </c>
      <c r="K72" s="110">
        <f>ROUND(I72,2)+(ROUND(I72,2)*J72)</f>
        <v>5993.91</v>
      </c>
      <c r="L72" s="112">
        <f>ROUND(Q72,2)</f>
        <v>5993.91</v>
      </c>
      <c r="M72" s="107" t="s">
        <v>19</v>
      </c>
      <c r="N72" s="107" t="s">
        <v>178</v>
      </c>
      <c r="O72" s="107" t="s">
        <v>132</v>
      </c>
      <c r="P72" s="109">
        <v>1</v>
      </c>
      <c r="Q72" s="110">
        <f>ROUND(K72,2)*P72</f>
        <v>5993.91</v>
      </c>
    </row>
    <row r="73" spans="1:17" ht="45" customHeight="1" x14ac:dyDescent="0.3">
      <c r="A73" s="107" t="s">
        <v>21</v>
      </c>
      <c r="B73" s="107" t="s">
        <v>188</v>
      </c>
      <c r="C73" s="107" t="s">
        <v>67</v>
      </c>
      <c r="D73" s="107" t="s">
        <v>189</v>
      </c>
      <c r="E73" s="108" t="s">
        <v>190</v>
      </c>
      <c r="F73" s="109">
        <f>P73</f>
        <v>6</v>
      </c>
      <c r="G73" s="107" t="s">
        <v>25</v>
      </c>
      <c r="H73" s="110">
        <v>1700</v>
      </c>
      <c r="I73" s="110">
        <v>1700</v>
      </c>
      <c r="J73" s="111">
        <v>0.27529999999999999</v>
      </c>
      <c r="K73" s="110">
        <f>ROUND(I73,2)+(ROUND(I73,2)*J73)</f>
        <v>2168.0100000000002</v>
      </c>
      <c r="L73" s="112">
        <f>ROUND(Q73,2)</f>
        <v>13008.06</v>
      </c>
      <c r="M73" s="107" t="s">
        <v>19</v>
      </c>
      <c r="N73" s="107" t="s">
        <v>178</v>
      </c>
      <c r="O73" s="107" t="s">
        <v>132</v>
      </c>
      <c r="P73" s="109">
        <v>6</v>
      </c>
      <c r="Q73" s="110">
        <f>ROUND(K73,2)*P73</f>
        <v>13008.060000000001</v>
      </c>
    </row>
    <row r="74" spans="1:17" ht="45" customHeight="1" x14ac:dyDescent="0.3">
      <c r="A74" s="104" t="s">
        <v>17</v>
      </c>
      <c r="B74" s="104" t="s">
        <v>178</v>
      </c>
      <c r="C74" s="104" t="s">
        <v>19</v>
      </c>
      <c r="D74" s="104" t="s">
        <v>19</v>
      </c>
      <c r="E74" s="105" t="s">
        <v>61</v>
      </c>
      <c r="F74" s="104" t="s">
        <v>19</v>
      </c>
      <c r="G74" s="104" t="s">
        <v>19</v>
      </c>
      <c r="H74" s="104" t="s">
        <v>19</v>
      </c>
      <c r="I74" s="104" t="s">
        <v>19</v>
      </c>
      <c r="J74" s="104" t="s">
        <v>19</v>
      </c>
      <c r="K74" s="104" t="s">
        <v>19</v>
      </c>
      <c r="L74" s="106">
        <f>ROUND(L75,2)+ROUND(L76,2)+ROUND(L77,2)</f>
        <v>107832.25</v>
      </c>
      <c r="M74" s="104" t="s">
        <v>19</v>
      </c>
      <c r="N74" s="104" t="s">
        <v>19</v>
      </c>
      <c r="O74" s="104" t="s">
        <v>19</v>
      </c>
      <c r="P74" s="104" t="s">
        <v>19</v>
      </c>
      <c r="Q74" s="104" t="s">
        <v>19</v>
      </c>
    </row>
    <row r="75" spans="1:17" ht="45" customHeight="1" x14ac:dyDescent="0.3">
      <c r="A75" s="107" t="s">
        <v>21</v>
      </c>
      <c r="B75" s="107" t="s">
        <v>191</v>
      </c>
      <c r="C75" s="107" t="s">
        <v>23</v>
      </c>
      <c r="D75" s="107" t="s">
        <v>63</v>
      </c>
      <c r="E75" s="108" t="s">
        <v>64</v>
      </c>
      <c r="F75" s="109">
        <f>P75</f>
        <v>643.89</v>
      </c>
      <c r="G75" s="107" t="s">
        <v>31</v>
      </c>
      <c r="H75" s="110">
        <v>2.68</v>
      </c>
      <c r="I75" s="110">
        <v>2.68</v>
      </c>
      <c r="J75" s="111">
        <v>0.27529999999999999</v>
      </c>
      <c r="K75" s="110">
        <f>ROUND(I75,2)+(ROUND(I75,2)*J75)</f>
        <v>3.4178040000000003</v>
      </c>
      <c r="L75" s="112">
        <f>ROUND(Q75,2)</f>
        <v>2202.1</v>
      </c>
      <c r="M75" s="107" t="s">
        <v>19</v>
      </c>
      <c r="N75" s="107" t="s">
        <v>192</v>
      </c>
      <c r="O75" s="107" t="s">
        <v>61</v>
      </c>
      <c r="P75" s="109">
        <v>643.89</v>
      </c>
      <c r="Q75" s="110">
        <f>ROUND(K75,2)*P75</f>
        <v>2202.1037999999999</v>
      </c>
    </row>
    <row r="76" spans="1:17" ht="45" customHeight="1" x14ac:dyDescent="0.3">
      <c r="A76" s="107" t="s">
        <v>21</v>
      </c>
      <c r="B76" s="107" t="s">
        <v>193</v>
      </c>
      <c r="C76" s="107" t="s">
        <v>23</v>
      </c>
      <c r="D76" s="107" t="s">
        <v>56</v>
      </c>
      <c r="E76" s="108" t="s">
        <v>152</v>
      </c>
      <c r="F76" s="109">
        <f>P76</f>
        <v>643.89</v>
      </c>
      <c r="G76" s="107" t="s">
        <v>31</v>
      </c>
      <c r="H76" s="110">
        <v>34.270000000000003</v>
      </c>
      <c r="I76" s="110">
        <v>34.270000000000003</v>
      </c>
      <c r="J76" s="111">
        <v>0.27529999999999999</v>
      </c>
      <c r="K76" s="110">
        <f>ROUND(I76,2)+(ROUND(I76,2)*J76)</f>
        <v>43.704531000000003</v>
      </c>
      <c r="L76" s="112">
        <f>ROUND(Q76,2)</f>
        <v>28137.99</v>
      </c>
      <c r="M76" s="107" t="s">
        <v>19</v>
      </c>
      <c r="N76" s="107" t="s">
        <v>192</v>
      </c>
      <c r="O76" s="107" t="s">
        <v>61</v>
      </c>
      <c r="P76" s="109">
        <v>643.89</v>
      </c>
      <c r="Q76" s="110">
        <f>ROUND(K76,2)*P76</f>
        <v>28137.993000000002</v>
      </c>
    </row>
    <row r="77" spans="1:17" ht="45" customHeight="1" x14ac:dyDescent="0.3">
      <c r="A77" s="107" t="s">
        <v>21</v>
      </c>
      <c r="B77" s="107" t="s">
        <v>194</v>
      </c>
      <c r="C77" s="107" t="s">
        <v>23</v>
      </c>
      <c r="D77" s="107" t="s">
        <v>151</v>
      </c>
      <c r="E77" s="108" t="s">
        <v>152</v>
      </c>
      <c r="F77" s="109">
        <f>P77</f>
        <v>643.89</v>
      </c>
      <c r="G77" s="107" t="s">
        <v>31</v>
      </c>
      <c r="H77" s="110">
        <v>94.37</v>
      </c>
      <c r="I77" s="110">
        <v>94.37</v>
      </c>
      <c r="J77" s="111">
        <v>0.27529999999999999</v>
      </c>
      <c r="K77" s="110">
        <f>ROUND(I77,2)+(ROUND(I77,2)*J77)</f>
        <v>120.35006100000001</v>
      </c>
      <c r="L77" s="112">
        <f>ROUND(Q77,2)</f>
        <v>77492.160000000003</v>
      </c>
      <c r="M77" s="107" t="s">
        <v>19</v>
      </c>
      <c r="N77" s="107" t="s">
        <v>192</v>
      </c>
      <c r="O77" s="107" t="s">
        <v>61</v>
      </c>
      <c r="P77" s="109">
        <v>643.89</v>
      </c>
      <c r="Q77" s="110">
        <f>ROUND(K77,2)*P77</f>
        <v>77492.161499999987</v>
      </c>
    </row>
    <row r="78" spans="1:17" ht="45" customHeight="1" x14ac:dyDescent="0.3">
      <c r="A78" s="104" t="s">
        <v>17</v>
      </c>
      <c r="B78" s="104" t="s">
        <v>192</v>
      </c>
      <c r="C78" s="104" t="s">
        <v>19</v>
      </c>
      <c r="D78" s="104" t="s">
        <v>19</v>
      </c>
      <c r="E78" s="105" t="s">
        <v>124</v>
      </c>
      <c r="F78" s="104" t="s">
        <v>19</v>
      </c>
      <c r="G78" s="104" t="s">
        <v>19</v>
      </c>
      <c r="H78" s="104" t="s">
        <v>19</v>
      </c>
      <c r="I78" s="104" t="s">
        <v>19</v>
      </c>
      <c r="J78" s="104" t="s">
        <v>19</v>
      </c>
      <c r="K78" s="104" t="s">
        <v>19</v>
      </c>
      <c r="L78" s="106">
        <f>ROUND(L79,2)+ROUND(L80,2)</f>
        <v>57120.649999999994</v>
      </c>
      <c r="M78" s="104" t="s">
        <v>19</v>
      </c>
      <c r="N78" s="104" t="s">
        <v>19</v>
      </c>
      <c r="O78" s="104" t="s">
        <v>19</v>
      </c>
      <c r="P78" s="104" t="s">
        <v>19</v>
      </c>
      <c r="Q78" s="104" t="s">
        <v>19</v>
      </c>
    </row>
    <row r="79" spans="1:17" ht="45" customHeight="1" x14ac:dyDescent="0.3">
      <c r="A79" s="107" t="s">
        <v>21</v>
      </c>
      <c r="B79" s="107" t="s">
        <v>195</v>
      </c>
      <c r="C79" s="107" t="s">
        <v>23</v>
      </c>
      <c r="D79" s="107" t="s">
        <v>196</v>
      </c>
      <c r="E79" s="108" t="s">
        <v>155</v>
      </c>
      <c r="F79" s="109">
        <f>P79</f>
        <v>643.89</v>
      </c>
      <c r="G79" s="107" t="s">
        <v>31</v>
      </c>
      <c r="H79" s="110">
        <v>66.17</v>
      </c>
      <c r="I79" s="110">
        <v>66.17</v>
      </c>
      <c r="J79" s="111">
        <v>0.27529999999999999</v>
      </c>
      <c r="K79" s="110">
        <f>ROUND(I79,2)+(ROUND(I79,2)*J79)</f>
        <v>84.386600999999999</v>
      </c>
      <c r="L79" s="112">
        <f>ROUND(Q79,2)</f>
        <v>54337.88</v>
      </c>
      <c r="M79" s="107" t="s">
        <v>19</v>
      </c>
      <c r="N79" s="107" t="s">
        <v>197</v>
      </c>
      <c r="O79" s="107" t="s">
        <v>124</v>
      </c>
      <c r="P79" s="109">
        <v>643.89</v>
      </c>
      <c r="Q79" s="110">
        <f>ROUND(K79,2)*P79</f>
        <v>54337.877099999998</v>
      </c>
    </row>
    <row r="80" spans="1:17" ht="45" customHeight="1" x14ac:dyDescent="0.3">
      <c r="A80" s="107" t="s">
        <v>21</v>
      </c>
      <c r="B80" s="107" t="s">
        <v>198</v>
      </c>
      <c r="C80" s="107" t="s">
        <v>23</v>
      </c>
      <c r="D80" s="107" t="s">
        <v>199</v>
      </c>
      <c r="E80" s="108" t="s">
        <v>200</v>
      </c>
      <c r="F80" s="109">
        <f>P80</f>
        <v>214.72</v>
      </c>
      <c r="G80" s="107" t="s">
        <v>98</v>
      </c>
      <c r="H80" s="110">
        <v>10.16</v>
      </c>
      <c r="I80" s="110">
        <v>10.16</v>
      </c>
      <c r="J80" s="111">
        <v>0.27529999999999999</v>
      </c>
      <c r="K80" s="110">
        <f>ROUND(I80,2)+(ROUND(I80,2)*J80)</f>
        <v>12.957048</v>
      </c>
      <c r="L80" s="112">
        <f>ROUND(Q80,2)</f>
        <v>2782.77</v>
      </c>
      <c r="M80" s="107" t="s">
        <v>19</v>
      </c>
      <c r="N80" s="107" t="s">
        <v>197</v>
      </c>
      <c r="O80" s="107" t="s">
        <v>124</v>
      </c>
      <c r="P80" s="109">
        <v>214.72</v>
      </c>
      <c r="Q80" s="110">
        <f>ROUND(K80,2)*P80</f>
        <v>2782.7712000000001</v>
      </c>
    </row>
    <row r="81" spans="1:17" ht="45" customHeight="1" x14ac:dyDescent="0.3">
      <c r="A81" s="104" t="s">
        <v>17</v>
      </c>
      <c r="B81" s="104" t="s">
        <v>197</v>
      </c>
      <c r="C81" s="104" t="s">
        <v>19</v>
      </c>
      <c r="D81" s="104" t="s">
        <v>19</v>
      </c>
      <c r="E81" s="105" t="s">
        <v>61</v>
      </c>
      <c r="F81" s="104" t="s">
        <v>19</v>
      </c>
      <c r="G81" s="104" t="s">
        <v>19</v>
      </c>
      <c r="H81" s="104" t="s">
        <v>19</v>
      </c>
      <c r="I81" s="104" t="s">
        <v>19</v>
      </c>
      <c r="J81" s="104" t="s">
        <v>19</v>
      </c>
      <c r="K81" s="104" t="s">
        <v>19</v>
      </c>
      <c r="L81" s="106">
        <f>ROUND(L82,2)+ROUND(L83,2)+ROUND(L84,2)+ROUND(L85,2)+ROUND(L86,2)</f>
        <v>38454.800000000003</v>
      </c>
      <c r="M81" s="104" t="s">
        <v>19</v>
      </c>
      <c r="N81" s="104" t="s">
        <v>19</v>
      </c>
      <c r="O81" s="104" t="s">
        <v>19</v>
      </c>
      <c r="P81" s="104" t="s">
        <v>19</v>
      </c>
      <c r="Q81" s="104" t="s">
        <v>19</v>
      </c>
    </row>
    <row r="82" spans="1:17" ht="45" customHeight="1" x14ac:dyDescent="0.3">
      <c r="A82" s="107" t="s">
        <v>21</v>
      </c>
      <c r="B82" s="107" t="s">
        <v>201</v>
      </c>
      <c r="C82" s="107" t="s">
        <v>23</v>
      </c>
      <c r="D82" s="107" t="s">
        <v>63</v>
      </c>
      <c r="E82" s="108" t="s">
        <v>64</v>
      </c>
      <c r="F82" s="109">
        <f>P82</f>
        <v>139.86000000000001</v>
      </c>
      <c r="G82" s="107" t="s">
        <v>31</v>
      </c>
      <c r="H82" s="110">
        <v>2.68</v>
      </c>
      <c r="I82" s="110">
        <v>2.68</v>
      </c>
      <c r="J82" s="111">
        <v>0.27529999999999999</v>
      </c>
      <c r="K82" s="110">
        <f>ROUND(I82,2)+(ROUND(I82,2)*J82)</f>
        <v>3.4178040000000003</v>
      </c>
      <c r="L82" s="112">
        <f>ROUND(Q82,2)</f>
        <v>478.32</v>
      </c>
      <c r="M82" s="107" t="s">
        <v>19</v>
      </c>
      <c r="N82" s="107" t="s">
        <v>202</v>
      </c>
      <c r="O82" s="107" t="s">
        <v>61</v>
      </c>
      <c r="P82" s="109">
        <v>139.86000000000001</v>
      </c>
      <c r="Q82" s="110">
        <f>ROUND(K82,2)*P82</f>
        <v>478.32120000000003</v>
      </c>
    </row>
    <row r="83" spans="1:17" ht="45" customHeight="1" x14ac:dyDescent="0.3">
      <c r="A83" s="107" t="s">
        <v>21</v>
      </c>
      <c r="B83" s="107" t="s">
        <v>203</v>
      </c>
      <c r="C83" s="107" t="s">
        <v>23</v>
      </c>
      <c r="D83" s="107" t="s">
        <v>56</v>
      </c>
      <c r="E83" s="108" t="s">
        <v>57</v>
      </c>
      <c r="F83" s="109">
        <f>P83</f>
        <v>139.88999999999999</v>
      </c>
      <c r="G83" s="107" t="s">
        <v>31</v>
      </c>
      <c r="H83" s="110">
        <v>34.270000000000003</v>
      </c>
      <c r="I83" s="110">
        <v>34.270000000000003</v>
      </c>
      <c r="J83" s="111">
        <v>0.27529999999999999</v>
      </c>
      <c r="K83" s="110">
        <f>ROUND(I83,2)+(ROUND(I83,2)*J83)</f>
        <v>43.704531000000003</v>
      </c>
      <c r="L83" s="112">
        <f>ROUND(Q83,2)</f>
        <v>6113.19</v>
      </c>
      <c r="M83" s="107" t="s">
        <v>19</v>
      </c>
      <c r="N83" s="107" t="s">
        <v>202</v>
      </c>
      <c r="O83" s="107" t="s">
        <v>61</v>
      </c>
      <c r="P83" s="109">
        <v>139.88999999999999</v>
      </c>
      <c r="Q83" s="110">
        <f>ROUND(K83,2)*P83</f>
        <v>6113.1930000000002</v>
      </c>
    </row>
    <row r="84" spans="1:17" ht="45" customHeight="1" x14ac:dyDescent="0.3">
      <c r="A84" s="107" t="s">
        <v>21</v>
      </c>
      <c r="B84" s="107" t="s">
        <v>204</v>
      </c>
      <c r="C84" s="107" t="s">
        <v>23</v>
      </c>
      <c r="D84" s="107" t="s">
        <v>205</v>
      </c>
      <c r="E84" s="108" t="s">
        <v>206</v>
      </c>
      <c r="F84" s="109">
        <f>P84</f>
        <v>139.86000000000001</v>
      </c>
      <c r="G84" s="107" t="s">
        <v>98</v>
      </c>
      <c r="H84" s="110">
        <v>79.09</v>
      </c>
      <c r="I84" s="110">
        <v>79.09</v>
      </c>
      <c r="J84" s="111">
        <v>0.27529999999999999</v>
      </c>
      <c r="K84" s="110">
        <f>ROUND(I84,2)+(ROUND(I84,2)*J84)</f>
        <v>100.863477</v>
      </c>
      <c r="L84" s="112">
        <f>ROUND(Q84,2)</f>
        <v>14106.28</v>
      </c>
      <c r="M84" s="107" t="s">
        <v>19</v>
      </c>
      <c r="N84" s="107" t="s">
        <v>202</v>
      </c>
      <c r="O84" s="107" t="s">
        <v>61</v>
      </c>
      <c r="P84" s="109">
        <v>139.86000000000001</v>
      </c>
      <c r="Q84" s="110">
        <f>ROUND(K84,2)*P84</f>
        <v>14106.279600000002</v>
      </c>
    </row>
    <row r="85" spans="1:17" ht="45" customHeight="1" x14ac:dyDescent="0.3">
      <c r="A85" s="107" t="s">
        <v>21</v>
      </c>
      <c r="B85" s="107" t="s">
        <v>207</v>
      </c>
      <c r="C85" s="107" t="s">
        <v>23</v>
      </c>
      <c r="D85" s="107" t="s">
        <v>208</v>
      </c>
      <c r="E85" s="108" t="s">
        <v>209</v>
      </c>
      <c r="F85" s="109">
        <f>P85</f>
        <v>160.9</v>
      </c>
      <c r="G85" s="107" t="s">
        <v>31</v>
      </c>
      <c r="H85" s="110">
        <v>52.86</v>
      </c>
      <c r="I85" s="110">
        <v>52.86</v>
      </c>
      <c r="J85" s="111">
        <v>0.27529999999999999</v>
      </c>
      <c r="K85" s="110">
        <f>ROUND(I85,2)+(ROUND(I85,2)*J85)</f>
        <v>67.412357999999998</v>
      </c>
      <c r="L85" s="112">
        <f>ROUND(Q85,2)</f>
        <v>10846.27</v>
      </c>
      <c r="M85" s="107" t="s">
        <v>19</v>
      </c>
      <c r="N85" s="107" t="s">
        <v>202</v>
      </c>
      <c r="O85" s="107" t="s">
        <v>61</v>
      </c>
      <c r="P85" s="109">
        <v>160.9</v>
      </c>
      <c r="Q85" s="110">
        <f>ROUND(K85,2)*P85</f>
        <v>10846.269</v>
      </c>
    </row>
    <row r="86" spans="1:17" ht="45" customHeight="1" x14ac:dyDescent="0.3">
      <c r="A86" s="107" t="s">
        <v>21</v>
      </c>
      <c r="B86" s="107" t="s">
        <v>210</v>
      </c>
      <c r="C86" s="107" t="s">
        <v>23</v>
      </c>
      <c r="D86" s="107" t="s">
        <v>211</v>
      </c>
      <c r="E86" s="108" t="s">
        <v>212</v>
      </c>
      <c r="F86" s="109">
        <f>P86</f>
        <v>267.02999999999997</v>
      </c>
      <c r="G86" s="107" t="s">
        <v>31</v>
      </c>
      <c r="H86" s="110">
        <v>20.29</v>
      </c>
      <c r="I86" s="110">
        <v>20.29</v>
      </c>
      <c r="J86" s="111">
        <v>0.27529999999999999</v>
      </c>
      <c r="K86" s="110">
        <f>ROUND(I86,2)+(ROUND(I86,2)*J86)</f>
        <v>25.875836999999997</v>
      </c>
      <c r="L86" s="112">
        <f>ROUND(Q86,2)</f>
        <v>6910.74</v>
      </c>
      <c r="M86" s="107" t="s">
        <v>19</v>
      </c>
      <c r="N86" s="107" t="s">
        <v>202</v>
      </c>
      <c r="O86" s="107" t="s">
        <v>61</v>
      </c>
      <c r="P86" s="109">
        <v>267.02999999999997</v>
      </c>
      <c r="Q86" s="110">
        <f>ROUND(K86,2)*P86</f>
        <v>6910.7363999999989</v>
      </c>
    </row>
    <row r="87" spans="1:17" ht="45" customHeight="1" x14ac:dyDescent="0.3">
      <c r="A87" s="104" t="s">
        <v>17</v>
      </c>
      <c r="B87" s="104" t="s">
        <v>202</v>
      </c>
      <c r="C87" s="104" t="s">
        <v>19</v>
      </c>
      <c r="D87" s="104" t="s">
        <v>19</v>
      </c>
      <c r="E87" s="105" t="s">
        <v>213</v>
      </c>
      <c r="F87" s="104" t="s">
        <v>19</v>
      </c>
      <c r="G87" s="104" t="s">
        <v>19</v>
      </c>
      <c r="H87" s="104" t="s">
        <v>19</v>
      </c>
      <c r="I87" s="104" t="s">
        <v>19</v>
      </c>
      <c r="J87" s="104" t="s">
        <v>19</v>
      </c>
      <c r="K87" s="104" t="s">
        <v>19</v>
      </c>
      <c r="L87" s="106">
        <f>ROUND(L88,2)+ROUND(L89,2)+ROUND(L90,2)+ROUND(L91,2)+ROUND(L92,2)</f>
        <v>16911.05</v>
      </c>
      <c r="M87" s="104" t="s">
        <v>19</v>
      </c>
      <c r="N87" s="104" t="s">
        <v>19</v>
      </c>
      <c r="O87" s="104" t="s">
        <v>19</v>
      </c>
      <c r="P87" s="104" t="s">
        <v>19</v>
      </c>
      <c r="Q87" s="104" t="s">
        <v>19</v>
      </c>
    </row>
    <row r="88" spans="1:17" ht="45" customHeight="1" x14ac:dyDescent="0.3">
      <c r="A88" s="107" t="s">
        <v>21</v>
      </c>
      <c r="B88" s="107" t="s">
        <v>214</v>
      </c>
      <c r="C88" s="107" t="s">
        <v>23</v>
      </c>
      <c r="D88" s="107" t="s">
        <v>101</v>
      </c>
      <c r="E88" s="108" t="s">
        <v>102</v>
      </c>
      <c r="F88" s="109">
        <f>P88</f>
        <v>13.85</v>
      </c>
      <c r="G88" s="107" t="s">
        <v>31</v>
      </c>
      <c r="H88" s="110">
        <v>81.17</v>
      </c>
      <c r="I88" s="110">
        <v>81.17</v>
      </c>
      <c r="J88" s="111">
        <v>0.27529999999999999</v>
      </c>
      <c r="K88" s="110">
        <f>ROUND(I88,2)+(ROUND(I88,2)*J88)</f>
        <v>103.51610100000001</v>
      </c>
      <c r="L88" s="112">
        <f>ROUND(Q88,2)</f>
        <v>1433.75</v>
      </c>
      <c r="M88" s="107" t="s">
        <v>19</v>
      </c>
      <c r="N88" s="107" t="s">
        <v>215</v>
      </c>
      <c r="O88" s="107" t="s">
        <v>213</v>
      </c>
      <c r="P88" s="109">
        <v>13.85</v>
      </c>
      <c r="Q88" s="110">
        <f>ROUND(K88,2)*P88</f>
        <v>1433.752</v>
      </c>
    </row>
    <row r="89" spans="1:17" ht="45" customHeight="1" x14ac:dyDescent="0.3">
      <c r="A89" s="107" t="s">
        <v>21</v>
      </c>
      <c r="B89" s="107" t="s">
        <v>216</v>
      </c>
      <c r="C89" s="107" t="s">
        <v>23</v>
      </c>
      <c r="D89" s="107" t="s">
        <v>105</v>
      </c>
      <c r="E89" s="108" t="s">
        <v>106</v>
      </c>
      <c r="F89" s="109">
        <f>P89</f>
        <v>55.42</v>
      </c>
      <c r="G89" s="107" t="s">
        <v>31</v>
      </c>
      <c r="H89" s="110">
        <v>170.96</v>
      </c>
      <c r="I89" s="110">
        <v>170.96</v>
      </c>
      <c r="J89" s="111">
        <v>0.27529999999999999</v>
      </c>
      <c r="K89" s="110">
        <f>ROUND(I89,2)+(ROUND(I89,2)*J89)</f>
        <v>218.02528800000002</v>
      </c>
      <c r="L89" s="112">
        <f>ROUND(Q89,2)</f>
        <v>12083.22</v>
      </c>
      <c r="M89" s="107" t="s">
        <v>19</v>
      </c>
      <c r="N89" s="107" t="s">
        <v>215</v>
      </c>
      <c r="O89" s="107" t="s">
        <v>213</v>
      </c>
      <c r="P89" s="109">
        <v>55.42</v>
      </c>
      <c r="Q89" s="110">
        <f>ROUND(K89,2)*P89</f>
        <v>12083.222600000001</v>
      </c>
    </row>
    <row r="90" spans="1:17" ht="45" customHeight="1" x14ac:dyDescent="0.3">
      <c r="A90" s="107" t="s">
        <v>21</v>
      </c>
      <c r="B90" s="107" t="s">
        <v>217</v>
      </c>
      <c r="C90" s="107" t="s">
        <v>23</v>
      </c>
      <c r="D90" s="107" t="s">
        <v>108</v>
      </c>
      <c r="E90" s="108" t="s">
        <v>109</v>
      </c>
      <c r="F90" s="109">
        <f>P90</f>
        <v>27.7</v>
      </c>
      <c r="G90" s="107" t="s">
        <v>31</v>
      </c>
      <c r="H90" s="110">
        <v>12.91</v>
      </c>
      <c r="I90" s="110">
        <v>12.91</v>
      </c>
      <c r="J90" s="111">
        <v>0.27529999999999999</v>
      </c>
      <c r="K90" s="110">
        <f>ROUND(I90,2)+(ROUND(I90,2)*J90)</f>
        <v>16.464123000000001</v>
      </c>
      <c r="L90" s="112">
        <f>ROUND(Q90,2)</f>
        <v>455.94</v>
      </c>
      <c r="M90" s="107" t="s">
        <v>19</v>
      </c>
      <c r="N90" s="107" t="s">
        <v>215</v>
      </c>
      <c r="O90" s="107" t="s">
        <v>213</v>
      </c>
      <c r="P90" s="109">
        <v>27.7</v>
      </c>
      <c r="Q90" s="110">
        <f>ROUND(K90,2)*P90</f>
        <v>455.94200000000001</v>
      </c>
    </row>
    <row r="91" spans="1:17" ht="45" customHeight="1" x14ac:dyDescent="0.3">
      <c r="A91" s="107" t="s">
        <v>21</v>
      </c>
      <c r="B91" s="107" t="s">
        <v>218</v>
      </c>
      <c r="C91" s="107" t="s">
        <v>23</v>
      </c>
      <c r="D91" s="107" t="s">
        <v>111</v>
      </c>
      <c r="E91" s="108" t="s">
        <v>112</v>
      </c>
      <c r="F91" s="109">
        <f>P91</f>
        <v>27.7</v>
      </c>
      <c r="G91" s="107" t="s">
        <v>31</v>
      </c>
      <c r="H91" s="110">
        <v>69.489999999999995</v>
      </c>
      <c r="I91" s="110">
        <v>69.489999999999995</v>
      </c>
      <c r="J91" s="111">
        <v>0.27529999999999999</v>
      </c>
      <c r="K91" s="110">
        <f>ROUND(I91,2)+(ROUND(I91,2)*J91)</f>
        <v>88.620596999999989</v>
      </c>
      <c r="L91" s="112">
        <f>ROUND(Q91,2)</f>
        <v>2454.77</v>
      </c>
      <c r="M91" s="107" t="s">
        <v>19</v>
      </c>
      <c r="N91" s="107" t="s">
        <v>215</v>
      </c>
      <c r="O91" s="107" t="s">
        <v>213</v>
      </c>
      <c r="P91" s="109">
        <v>27.7</v>
      </c>
      <c r="Q91" s="110">
        <f>ROUND(K91,2)*P91</f>
        <v>2454.7739999999999</v>
      </c>
    </row>
    <row r="92" spans="1:17" ht="45" customHeight="1" x14ac:dyDescent="0.3">
      <c r="A92" s="107" t="s">
        <v>21</v>
      </c>
      <c r="B92" s="107" t="s">
        <v>219</v>
      </c>
      <c r="C92" s="107" t="s">
        <v>23</v>
      </c>
      <c r="D92" s="107" t="s">
        <v>114</v>
      </c>
      <c r="E92" s="108" t="s">
        <v>115</v>
      </c>
      <c r="F92" s="109">
        <f>P92</f>
        <v>27.7</v>
      </c>
      <c r="G92" s="107" t="s">
        <v>31</v>
      </c>
      <c r="H92" s="110">
        <v>13.68</v>
      </c>
      <c r="I92" s="110">
        <v>13.68</v>
      </c>
      <c r="J92" s="111">
        <v>0.27529999999999999</v>
      </c>
      <c r="K92" s="110">
        <f>ROUND(I92,2)+(ROUND(I92,2)*J92)</f>
        <v>17.446103999999998</v>
      </c>
      <c r="L92" s="112">
        <f>ROUND(Q92,2)</f>
        <v>483.37</v>
      </c>
      <c r="M92" s="107" t="s">
        <v>19</v>
      </c>
      <c r="N92" s="107" t="s">
        <v>215</v>
      </c>
      <c r="O92" s="107" t="s">
        <v>213</v>
      </c>
      <c r="P92" s="109">
        <v>27.7</v>
      </c>
      <c r="Q92" s="110">
        <f>ROUND(K92,2)*P92</f>
        <v>483.36499999999995</v>
      </c>
    </row>
    <row r="93" spans="1:17" ht="45" customHeight="1" x14ac:dyDescent="0.3">
      <c r="A93" s="104" t="s">
        <v>17</v>
      </c>
      <c r="B93" s="104" t="s">
        <v>215</v>
      </c>
      <c r="C93" s="104" t="s">
        <v>19</v>
      </c>
      <c r="D93" s="104" t="s">
        <v>19</v>
      </c>
      <c r="E93" s="105" t="s">
        <v>220</v>
      </c>
      <c r="F93" s="104" t="s">
        <v>19</v>
      </c>
      <c r="G93" s="104" t="s">
        <v>19</v>
      </c>
      <c r="H93" s="104" t="s">
        <v>19</v>
      </c>
      <c r="I93" s="104" t="s">
        <v>19</v>
      </c>
      <c r="J93" s="104" t="s">
        <v>19</v>
      </c>
      <c r="K93" s="104" t="s">
        <v>19</v>
      </c>
      <c r="L93" s="106">
        <f>ROUND(L94,2)+ROUND(L95,2)+ROUND(L96,2)+ROUND(L97,2)+ROUND(L98,2)+ROUND(L99,2)+ROUND(L100,2)</f>
        <v>72646.069999999992</v>
      </c>
      <c r="M93" s="104" t="s">
        <v>19</v>
      </c>
      <c r="N93" s="104" t="s">
        <v>19</v>
      </c>
      <c r="O93" s="104" t="s">
        <v>19</v>
      </c>
      <c r="P93" s="104" t="s">
        <v>19</v>
      </c>
      <c r="Q93" s="104" t="s">
        <v>19</v>
      </c>
    </row>
    <row r="94" spans="1:17" ht="45" customHeight="1" x14ac:dyDescent="0.3">
      <c r="A94" s="107" t="s">
        <v>21</v>
      </c>
      <c r="B94" s="107" t="s">
        <v>221</v>
      </c>
      <c r="C94" s="107" t="s">
        <v>67</v>
      </c>
      <c r="D94" s="107" t="s">
        <v>222</v>
      </c>
      <c r="E94" s="108" t="s">
        <v>223</v>
      </c>
      <c r="F94" s="109">
        <f t="shared" ref="F94:F100" si="4">P94</f>
        <v>1</v>
      </c>
      <c r="G94" s="107" t="s">
        <v>25</v>
      </c>
      <c r="H94" s="110">
        <v>9500</v>
      </c>
      <c r="I94" s="110">
        <v>9500</v>
      </c>
      <c r="J94" s="111">
        <v>0.27529999999999999</v>
      </c>
      <c r="K94" s="110">
        <f t="shared" ref="K94:K100" si="5">ROUND(I94,2)+(ROUND(I94,2)*J94)</f>
        <v>12115.35</v>
      </c>
      <c r="L94" s="112">
        <f t="shared" ref="L94:L100" si="6">ROUND(Q94,2)</f>
        <v>12115.35</v>
      </c>
      <c r="M94" s="107" t="s">
        <v>19</v>
      </c>
      <c r="N94" s="107" t="s">
        <v>224</v>
      </c>
      <c r="O94" s="107" t="s">
        <v>220</v>
      </c>
      <c r="P94" s="109">
        <v>1</v>
      </c>
      <c r="Q94" s="110">
        <f t="shared" ref="Q94:Q100" si="7">ROUND(K94,2)*P94</f>
        <v>12115.35</v>
      </c>
    </row>
    <row r="95" spans="1:17" ht="45" customHeight="1" x14ac:dyDescent="0.3">
      <c r="A95" s="107" t="s">
        <v>21</v>
      </c>
      <c r="B95" s="107" t="s">
        <v>225</v>
      </c>
      <c r="C95" s="107" t="s">
        <v>67</v>
      </c>
      <c r="D95" s="107" t="s">
        <v>189</v>
      </c>
      <c r="E95" s="108" t="s">
        <v>190</v>
      </c>
      <c r="F95" s="109">
        <f t="shared" si="4"/>
        <v>14</v>
      </c>
      <c r="G95" s="107" t="s">
        <v>25</v>
      </c>
      <c r="H95" s="110">
        <v>1700</v>
      </c>
      <c r="I95" s="110">
        <v>1700</v>
      </c>
      <c r="J95" s="111">
        <v>0.27529999999999999</v>
      </c>
      <c r="K95" s="110">
        <f t="shared" si="5"/>
        <v>2168.0100000000002</v>
      </c>
      <c r="L95" s="112">
        <f t="shared" si="6"/>
        <v>30352.14</v>
      </c>
      <c r="M95" s="107" t="s">
        <v>19</v>
      </c>
      <c r="N95" s="107" t="s">
        <v>224</v>
      </c>
      <c r="O95" s="107" t="s">
        <v>220</v>
      </c>
      <c r="P95" s="109">
        <v>14</v>
      </c>
      <c r="Q95" s="110">
        <f t="shared" si="7"/>
        <v>30352.140000000003</v>
      </c>
    </row>
    <row r="96" spans="1:17" ht="45" customHeight="1" x14ac:dyDescent="0.3">
      <c r="A96" s="107" t="s">
        <v>21</v>
      </c>
      <c r="B96" s="107" t="s">
        <v>226</v>
      </c>
      <c r="C96" s="107" t="s">
        <v>67</v>
      </c>
      <c r="D96" s="107" t="s">
        <v>227</v>
      </c>
      <c r="E96" s="108" t="s">
        <v>228</v>
      </c>
      <c r="F96" s="109">
        <f t="shared" si="4"/>
        <v>14</v>
      </c>
      <c r="G96" s="107" t="s">
        <v>25</v>
      </c>
      <c r="H96" s="110">
        <v>1100</v>
      </c>
      <c r="I96" s="110">
        <v>1100</v>
      </c>
      <c r="J96" s="111">
        <v>0.27529999999999999</v>
      </c>
      <c r="K96" s="110">
        <f t="shared" si="5"/>
        <v>1402.83</v>
      </c>
      <c r="L96" s="112">
        <f t="shared" si="6"/>
        <v>19639.62</v>
      </c>
      <c r="M96" s="107" t="s">
        <v>19</v>
      </c>
      <c r="N96" s="107" t="s">
        <v>224</v>
      </c>
      <c r="O96" s="107" t="s">
        <v>220</v>
      </c>
      <c r="P96" s="109">
        <v>14</v>
      </c>
      <c r="Q96" s="110">
        <f t="shared" si="7"/>
        <v>19639.62</v>
      </c>
    </row>
    <row r="97" spans="1:17" ht="45" customHeight="1" x14ac:dyDescent="0.3">
      <c r="A97" s="107" t="s">
        <v>21</v>
      </c>
      <c r="B97" s="107" t="s">
        <v>229</v>
      </c>
      <c r="C97" s="107" t="s">
        <v>67</v>
      </c>
      <c r="D97" s="107" t="s">
        <v>230</v>
      </c>
      <c r="E97" s="108" t="s">
        <v>231</v>
      </c>
      <c r="F97" s="109">
        <f t="shared" si="4"/>
        <v>11.75</v>
      </c>
      <c r="G97" s="107" t="s">
        <v>31</v>
      </c>
      <c r="H97" s="110">
        <v>193.65</v>
      </c>
      <c r="I97" s="110">
        <v>193.65</v>
      </c>
      <c r="J97" s="111">
        <v>0.27529999999999999</v>
      </c>
      <c r="K97" s="110">
        <f t="shared" si="5"/>
        <v>246.96184500000001</v>
      </c>
      <c r="L97" s="112">
        <f t="shared" si="6"/>
        <v>2901.78</v>
      </c>
      <c r="M97" s="107" t="s">
        <v>19</v>
      </c>
      <c r="N97" s="107" t="s">
        <v>224</v>
      </c>
      <c r="O97" s="107" t="s">
        <v>220</v>
      </c>
      <c r="P97" s="109">
        <v>11.75</v>
      </c>
      <c r="Q97" s="110">
        <f t="shared" si="7"/>
        <v>2901.78</v>
      </c>
    </row>
    <row r="98" spans="1:17" ht="45" customHeight="1" x14ac:dyDescent="0.3">
      <c r="A98" s="107" t="s">
        <v>21</v>
      </c>
      <c r="B98" s="107" t="s">
        <v>232</v>
      </c>
      <c r="C98" s="107" t="s">
        <v>23</v>
      </c>
      <c r="D98" s="107" t="s">
        <v>233</v>
      </c>
      <c r="E98" s="108" t="s">
        <v>234</v>
      </c>
      <c r="F98" s="109">
        <f t="shared" si="4"/>
        <v>30</v>
      </c>
      <c r="G98" s="107" t="s">
        <v>31</v>
      </c>
      <c r="H98" s="110">
        <v>84.48</v>
      </c>
      <c r="I98" s="110">
        <v>84.48</v>
      </c>
      <c r="J98" s="111">
        <v>0.27529999999999999</v>
      </c>
      <c r="K98" s="110">
        <f t="shared" si="5"/>
        <v>107.73734400000001</v>
      </c>
      <c r="L98" s="112">
        <f t="shared" si="6"/>
        <v>3232.2</v>
      </c>
      <c r="M98" s="107" t="s">
        <v>19</v>
      </c>
      <c r="N98" s="107" t="s">
        <v>224</v>
      </c>
      <c r="O98" s="107" t="s">
        <v>220</v>
      </c>
      <c r="P98" s="109">
        <v>30</v>
      </c>
      <c r="Q98" s="110">
        <f t="shared" si="7"/>
        <v>3232.2</v>
      </c>
    </row>
    <row r="99" spans="1:17" ht="45" customHeight="1" x14ac:dyDescent="0.3">
      <c r="A99" s="107" t="s">
        <v>21</v>
      </c>
      <c r="B99" s="107" t="s">
        <v>235</v>
      </c>
      <c r="C99" s="107" t="s">
        <v>23</v>
      </c>
      <c r="D99" s="107" t="s">
        <v>236</v>
      </c>
      <c r="E99" s="108" t="s">
        <v>237</v>
      </c>
      <c r="F99" s="109">
        <f t="shared" si="4"/>
        <v>24</v>
      </c>
      <c r="G99" s="107" t="s">
        <v>25</v>
      </c>
      <c r="H99" s="110">
        <v>124.52</v>
      </c>
      <c r="I99" s="110">
        <v>124.52</v>
      </c>
      <c r="J99" s="111">
        <v>0.27529999999999999</v>
      </c>
      <c r="K99" s="110">
        <f t="shared" si="5"/>
        <v>158.80035599999999</v>
      </c>
      <c r="L99" s="112">
        <f t="shared" si="6"/>
        <v>3811.2</v>
      </c>
      <c r="M99" s="107" t="s">
        <v>19</v>
      </c>
      <c r="N99" s="107" t="s">
        <v>224</v>
      </c>
      <c r="O99" s="107" t="s">
        <v>220</v>
      </c>
      <c r="P99" s="109">
        <v>24</v>
      </c>
      <c r="Q99" s="110">
        <f t="shared" si="7"/>
        <v>3811.2000000000003</v>
      </c>
    </row>
    <row r="100" spans="1:17" ht="45" customHeight="1" x14ac:dyDescent="0.3">
      <c r="A100" s="107" t="s">
        <v>21</v>
      </c>
      <c r="B100" s="107" t="s">
        <v>238</v>
      </c>
      <c r="C100" s="107" t="s">
        <v>23</v>
      </c>
      <c r="D100" s="107" t="s">
        <v>239</v>
      </c>
      <c r="E100" s="108" t="s">
        <v>240</v>
      </c>
      <c r="F100" s="109">
        <f t="shared" si="4"/>
        <v>2</v>
      </c>
      <c r="G100" s="107" t="s">
        <v>25</v>
      </c>
      <c r="H100" s="110">
        <v>232.8</v>
      </c>
      <c r="I100" s="110">
        <v>232.8</v>
      </c>
      <c r="J100" s="111">
        <v>0.27529999999999999</v>
      </c>
      <c r="K100" s="110">
        <f t="shared" si="5"/>
        <v>296.88983999999999</v>
      </c>
      <c r="L100" s="112">
        <f t="shared" si="6"/>
        <v>593.78</v>
      </c>
      <c r="M100" s="107" t="s">
        <v>19</v>
      </c>
      <c r="N100" s="107" t="s">
        <v>224</v>
      </c>
      <c r="O100" s="107" t="s">
        <v>220</v>
      </c>
      <c r="P100" s="109">
        <v>2</v>
      </c>
      <c r="Q100" s="110">
        <f t="shared" si="7"/>
        <v>593.78</v>
      </c>
    </row>
    <row r="101" spans="1:17" ht="45" customHeight="1" x14ac:dyDescent="0.3">
      <c r="A101" s="104" t="s">
        <v>17</v>
      </c>
      <c r="B101" s="104" t="s">
        <v>224</v>
      </c>
      <c r="C101" s="104" t="s">
        <v>19</v>
      </c>
      <c r="D101" s="104" t="s">
        <v>19</v>
      </c>
      <c r="E101" s="105" t="s">
        <v>241</v>
      </c>
      <c r="F101" s="104" t="s">
        <v>19</v>
      </c>
      <c r="G101" s="104" t="s">
        <v>19</v>
      </c>
      <c r="H101" s="104" t="s">
        <v>19</v>
      </c>
      <c r="I101" s="104" t="s">
        <v>19</v>
      </c>
      <c r="J101" s="104" t="s">
        <v>19</v>
      </c>
      <c r="K101" s="104" t="s">
        <v>19</v>
      </c>
      <c r="L101" s="106">
        <f>ROUND(L102,2)+ROUND(L103,2)+ROUND(L104,2)+ROUND(L105,2)+ROUND(L106,2)+ROUND(L107,2)+ROUND(L108,2)+ROUND(L109,2)+ROUND(L110,2)+ROUND(L111,2)+ROUND(L112,2)+ROUND(L113,2)+ROUND(L114,2)+ROUND(L115,2)+ROUND(L116,2)+ROUND(L117,2)+ROUND(L118,2)+ROUND(L119,2)+ROUND(L120,2)+ROUND(L121,2)+ROUND(L122,2)+ROUND(L123,2)+ROUND(L124,2)+ROUND(L125,2)+ROUND(L126,2)+ROUND(L127,2)</f>
        <v>97585.89</v>
      </c>
      <c r="M101" s="104" t="s">
        <v>19</v>
      </c>
      <c r="N101" s="104" t="s">
        <v>19</v>
      </c>
      <c r="O101" s="104" t="s">
        <v>19</v>
      </c>
      <c r="P101" s="104" t="s">
        <v>19</v>
      </c>
      <c r="Q101" s="104" t="s">
        <v>19</v>
      </c>
    </row>
    <row r="102" spans="1:17" ht="45" customHeight="1" x14ac:dyDescent="0.3">
      <c r="A102" s="107" t="s">
        <v>21</v>
      </c>
      <c r="B102" s="107" t="s">
        <v>242</v>
      </c>
      <c r="C102" s="107" t="s">
        <v>23</v>
      </c>
      <c r="D102" s="107" t="s">
        <v>243</v>
      </c>
      <c r="E102" s="108" t="s">
        <v>244</v>
      </c>
      <c r="F102" s="109">
        <f t="shared" ref="F102:F127" si="8">P102</f>
        <v>145</v>
      </c>
      <c r="G102" s="107" t="s">
        <v>98</v>
      </c>
      <c r="H102" s="110">
        <v>26.15</v>
      </c>
      <c r="I102" s="110">
        <v>26.15</v>
      </c>
      <c r="J102" s="111">
        <v>0.27529999999999999</v>
      </c>
      <c r="K102" s="110">
        <f t="shared" ref="K102:K127" si="9">ROUND(I102,2)+(ROUND(I102,2)*J102)</f>
        <v>33.349094999999998</v>
      </c>
      <c r="L102" s="112">
        <f t="shared" ref="L102:L127" si="10">ROUND(Q102,2)</f>
        <v>4835.75</v>
      </c>
      <c r="M102" s="107" t="s">
        <v>19</v>
      </c>
      <c r="N102" s="107" t="s">
        <v>245</v>
      </c>
      <c r="O102" s="107" t="s">
        <v>241</v>
      </c>
      <c r="P102" s="109">
        <v>145</v>
      </c>
      <c r="Q102" s="110">
        <f t="shared" ref="Q102:Q127" si="11">ROUND(K102,2)*P102</f>
        <v>4835.75</v>
      </c>
    </row>
    <row r="103" spans="1:17" ht="45" customHeight="1" x14ac:dyDescent="0.3">
      <c r="A103" s="107" t="s">
        <v>21</v>
      </c>
      <c r="B103" s="107" t="s">
        <v>246</v>
      </c>
      <c r="C103" s="107" t="s">
        <v>23</v>
      </c>
      <c r="D103" s="107" t="s">
        <v>247</v>
      </c>
      <c r="E103" s="108" t="s">
        <v>248</v>
      </c>
      <c r="F103" s="109">
        <f t="shared" si="8"/>
        <v>70</v>
      </c>
      <c r="G103" s="107" t="s">
        <v>98</v>
      </c>
      <c r="H103" s="110">
        <v>10.68</v>
      </c>
      <c r="I103" s="110">
        <v>10.68</v>
      </c>
      <c r="J103" s="111">
        <v>0.27529999999999999</v>
      </c>
      <c r="K103" s="110">
        <f t="shared" si="9"/>
        <v>13.620203999999999</v>
      </c>
      <c r="L103" s="112">
        <f t="shared" si="10"/>
        <v>953.4</v>
      </c>
      <c r="M103" s="107" t="s">
        <v>19</v>
      </c>
      <c r="N103" s="107" t="s">
        <v>245</v>
      </c>
      <c r="O103" s="107" t="s">
        <v>241</v>
      </c>
      <c r="P103" s="109">
        <v>70</v>
      </c>
      <c r="Q103" s="110">
        <f t="shared" si="11"/>
        <v>953.4</v>
      </c>
    </row>
    <row r="104" spans="1:17" ht="45" customHeight="1" x14ac:dyDescent="0.3">
      <c r="A104" s="107" t="s">
        <v>21</v>
      </c>
      <c r="B104" s="107" t="s">
        <v>249</v>
      </c>
      <c r="C104" s="107" t="s">
        <v>23</v>
      </c>
      <c r="D104" s="107" t="s">
        <v>250</v>
      </c>
      <c r="E104" s="108" t="s">
        <v>251</v>
      </c>
      <c r="F104" s="109">
        <f t="shared" si="8"/>
        <v>200</v>
      </c>
      <c r="G104" s="107" t="s">
        <v>98</v>
      </c>
      <c r="H104" s="110">
        <v>15.23</v>
      </c>
      <c r="I104" s="110">
        <v>15.23</v>
      </c>
      <c r="J104" s="111">
        <v>0.27529999999999999</v>
      </c>
      <c r="K104" s="110">
        <f t="shared" si="9"/>
        <v>19.422819</v>
      </c>
      <c r="L104" s="112">
        <f t="shared" si="10"/>
        <v>3884</v>
      </c>
      <c r="M104" s="107" t="s">
        <v>19</v>
      </c>
      <c r="N104" s="107" t="s">
        <v>245</v>
      </c>
      <c r="O104" s="107" t="s">
        <v>241</v>
      </c>
      <c r="P104" s="109">
        <v>200</v>
      </c>
      <c r="Q104" s="110">
        <f t="shared" si="11"/>
        <v>3884.0000000000005</v>
      </c>
    </row>
    <row r="105" spans="1:17" ht="45" customHeight="1" x14ac:dyDescent="0.3">
      <c r="A105" s="107" t="s">
        <v>21</v>
      </c>
      <c r="B105" s="107" t="s">
        <v>252</v>
      </c>
      <c r="C105" s="107" t="s">
        <v>23</v>
      </c>
      <c r="D105" s="107" t="s">
        <v>243</v>
      </c>
      <c r="E105" s="108" t="s">
        <v>244</v>
      </c>
      <c r="F105" s="109">
        <f t="shared" si="8"/>
        <v>6</v>
      </c>
      <c r="G105" s="107" t="s">
        <v>98</v>
      </c>
      <c r="H105" s="110">
        <v>21.34</v>
      </c>
      <c r="I105" s="110">
        <v>21.34</v>
      </c>
      <c r="J105" s="111">
        <v>0.27529999999999999</v>
      </c>
      <c r="K105" s="110">
        <f t="shared" si="9"/>
        <v>27.214901999999999</v>
      </c>
      <c r="L105" s="112">
        <f t="shared" si="10"/>
        <v>163.26</v>
      </c>
      <c r="M105" s="107" t="s">
        <v>19</v>
      </c>
      <c r="N105" s="107" t="s">
        <v>245</v>
      </c>
      <c r="O105" s="107" t="s">
        <v>241</v>
      </c>
      <c r="P105" s="109">
        <v>6</v>
      </c>
      <c r="Q105" s="110">
        <f t="shared" si="11"/>
        <v>163.26</v>
      </c>
    </row>
    <row r="106" spans="1:17" ht="45" customHeight="1" x14ac:dyDescent="0.3">
      <c r="A106" s="107" t="s">
        <v>21</v>
      </c>
      <c r="B106" s="107" t="s">
        <v>253</v>
      </c>
      <c r="C106" s="107" t="s">
        <v>23</v>
      </c>
      <c r="D106" s="107" t="s">
        <v>254</v>
      </c>
      <c r="E106" s="108" t="s">
        <v>255</v>
      </c>
      <c r="F106" s="109">
        <f t="shared" si="8"/>
        <v>9</v>
      </c>
      <c r="G106" s="107" t="s">
        <v>25</v>
      </c>
      <c r="H106" s="110">
        <v>13.17</v>
      </c>
      <c r="I106" s="110">
        <v>13.17</v>
      </c>
      <c r="J106" s="111">
        <v>0.27529999999999999</v>
      </c>
      <c r="K106" s="110">
        <f t="shared" si="9"/>
        <v>16.795701000000001</v>
      </c>
      <c r="L106" s="112">
        <f t="shared" si="10"/>
        <v>151.19999999999999</v>
      </c>
      <c r="M106" s="107" t="s">
        <v>19</v>
      </c>
      <c r="N106" s="107" t="s">
        <v>245</v>
      </c>
      <c r="O106" s="107" t="s">
        <v>241</v>
      </c>
      <c r="P106" s="109">
        <v>9</v>
      </c>
      <c r="Q106" s="110">
        <f t="shared" si="11"/>
        <v>151.20000000000002</v>
      </c>
    </row>
    <row r="107" spans="1:17" ht="45" customHeight="1" x14ac:dyDescent="0.3">
      <c r="A107" s="107" t="s">
        <v>21</v>
      </c>
      <c r="B107" s="107" t="s">
        <v>256</v>
      </c>
      <c r="C107" s="107" t="s">
        <v>23</v>
      </c>
      <c r="D107" s="107" t="s">
        <v>257</v>
      </c>
      <c r="E107" s="108" t="s">
        <v>258</v>
      </c>
      <c r="F107" s="109">
        <f t="shared" si="8"/>
        <v>205</v>
      </c>
      <c r="G107" s="107" t="s">
        <v>98</v>
      </c>
      <c r="H107" s="110">
        <v>5.63</v>
      </c>
      <c r="I107" s="110">
        <v>5.63</v>
      </c>
      <c r="J107" s="111">
        <v>0.27529999999999999</v>
      </c>
      <c r="K107" s="110">
        <f t="shared" si="9"/>
        <v>7.1799390000000001</v>
      </c>
      <c r="L107" s="112">
        <f t="shared" si="10"/>
        <v>1471.9</v>
      </c>
      <c r="M107" s="107" t="s">
        <v>19</v>
      </c>
      <c r="N107" s="107" t="s">
        <v>245</v>
      </c>
      <c r="O107" s="107" t="s">
        <v>241</v>
      </c>
      <c r="P107" s="109">
        <v>205</v>
      </c>
      <c r="Q107" s="110">
        <f t="shared" si="11"/>
        <v>1471.8999999999999</v>
      </c>
    </row>
    <row r="108" spans="1:17" ht="45" customHeight="1" x14ac:dyDescent="0.3">
      <c r="A108" s="107" t="s">
        <v>21</v>
      </c>
      <c r="B108" s="107" t="s">
        <v>259</v>
      </c>
      <c r="C108" s="107" t="s">
        <v>23</v>
      </c>
      <c r="D108" s="107" t="s">
        <v>260</v>
      </c>
      <c r="E108" s="108" t="s">
        <v>261</v>
      </c>
      <c r="F108" s="109">
        <f t="shared" si="8"/>
        <v>530</v>
      </c>
      <c r="G108" s="107" t="s">
        <v>98</v>
      </c>
      <c r="H108" s="110">
        <v>11.83</v>
      </c>
      <c r="I108" s="110">
        <v>11.83</v>
      </c>
      <c r="J108" s="111">
        <v>0.27529999999999999</v>
      </c>
      <c r="K108" s="110">
        <f t="shared" si="9"/>
        <v>15.086798999999999</v>
      </c>
      <c r="L108" s="112">
        <f t="shared" si="10"/>
        <v>7997.7</v>
      </c>
      <c r="M108" s="107" t="s">
        <v>19</v>
      </c>
      <c r="N108" s="107" t="s">
        <v>245</v>
      </c>
      <c r="O108" s="107" t="s">
        <v>241</v>
      </c>
      <c r="P108" s="109">
        <v>530</v>
      </c>
      <c r="Q108" s="110">
        <f t="shared" si="11"/>
        <v>7997.7</v>
      </c>
    </row>
    <row r="109" spans="1:17" ht="45" customHeight="1" x14ac:dyDescent="0.3">
      <c r="A109" s="107" t="s">
        <v>21</v>
      </c>
      <c r="B109" s="107" t="s">
        <v>262</v>
      </c>
      <c r="C109" s="107" t="s">
        <v>23</v>
      </c>
      <c r="D109" s="107" t="s">
        <v>263</v>
      </c>
      <c r="E109" s="108" t="s">
        <v>264</v>
      </c>
      <c r="F109" s="109">
        <f t="shared" si="8"/>
        <v>1260</v>
      </c>
      <c r="G109" s="107" t="s">
        <v>98</v>
      </c>
      <c r="H109" s="110">
        <v>18.97</v>
      </c>
      <c r="I109" s="110">
        <v>18.97</v>
      </c>
      <c r="J109" s="111">
        <v>0.27529999999999999</v>
      </c>
      <c r="K109" s="110">
        <f t="shared" si="9"/>
        <v>24.192440999999999</v>
      </c>
      <c r="L109" s="112">
        <f t="shared" si="10"/>
        <v>30479.4</v>
      </c>
      <c r="M109" s="107" t="s">
        <v>19</v>
      </c>
      <c r="N109" s="107" t="s">
        <v>245</v>
      </c>
      <c r="O109" s="107" t="s">
        <v>241</v>
      </c>
      <c r="P109" s="109">
        <v>1260</v>
      </c>
      <c r="Q109" s="110">
        <f t="shared" si="11"/>
        <v>30479.4</v>
      </c>
    </row>
    <row r="110" spans="1:17" ht="45" customHeight="1" x14ac:dyDescent="0.3">
      <c r="A110" s="107" t="s">
        <v>21</v>
      </c>
      <c r="B110" s="107" t="s">
        <v>265</v>
      </c>
      <c r="C110" s="107" t="s">
        <v>23</v>
      </c>
      <c r="D110" s="107" t="s">
        <v>266</v>
      </c>
      <c r="E110" s="108" t="s">
        <v>267</v>
      </c>
      <c r="F110" s="109">
        <f t="shared" si="8"/>
        <v>20</v>
      </c>
      <c r="G110" s="107" t="s">
        <v>98</v>
      </c>
      <c r="H110" s="110">
        <v>29.82</v>
      </c>
      <c r="I110" s="110">
        <v>29.82</v>
      </c>
      <c r="J110" s="111">
        <v>0.27529999999999999</v>
      </c>
      <c r="K110" s="110">
        <f t="shared" si="9"/>
        <v>38.029446</v>
      </c>
      <c r="L110" s="112">
        <f t="shared" si="10"/>
        <v>760.6</v>
      </c>
      <c r="M110" s="107" t="s">
        <v>19</v>
      </c>
      <c r="N110" s="107" t="s">
        <v>245</v>
      </c>
      <c r="O110" s="107" t="s">
        <v>241</v>
      </c>
      <c r="P110" s="109">
        <v>20</v>
      </c>
      <c r="Q110" s="110">
        <f t="shared" si="11"/>
        <v>760.6</v>
      </c>
    </row>
    <row r="111" spans="1:17" ht="45" customHeight="1" x14ac:dyDescent="0.3">
      <c r="A111" s="107" t="s">
        <v>21</v>
      </c>
      <c r="B111" s="107" t="s">
        <v>268</v>
      </c>
      <c r="C111" s="107" t="s">
        <v>23</v>
      </c>
      <c r="D111" s="107" t="s">
        <v>269</v>
      </c>
      <c r="E111" s="108" t="s">
        <v>270</v>
      </c>
      <c r="F111" s="109">
        <f t="shared" si="8"/>
        <v>8</v>
      </c>
      <c r="G111" s="107" t="s">
        <v>98</v>
      </c>
      <c r="H111" s="110">
        <v>28.3</v>
      </c>
      <c r="I111" s="110">
        <v>28.3</v>
      </c>
      <c r="J111" s="111">
        <v>0.27529999999999999</v>
      </c>
      <c r="K111" s="110">
        <f t="shared" si="9"/>
        <v>36.090989999999998</v>
      </c>
      <c r="L111" s="112">
        <f t="shared" si="10"/>
        <v>288.72000000000003</v>
      </c>
      <c r="M111" s="107" t="s">
        <v>19</v>
      </c>
      <c r="N111" s="107" t="s">
        <v>245</v>
      </c>
      <c r="O111" s="107" t="s">
        <v>241</v>
      </c>
      <c r="P111" s="109">
        <v>8</v>
      </c>
      <c r="Q111" s="110">
        <f t="shared" si="11"/>
        <v>288.72000000000003</v>
      </c>
    </row>
    <row r="112" spans="1:17" ht="45" customHeight="1" x14ac:dyDescent="0.3">
      <c r="A112" s="107" t="s">
        <v>21</v>
      </c>
      <c r="B112" s="107" t="s">
        <v>271</v>
      </c>
      <c r="C112" s="107" t="s">
        <v>23</v>
      </c>
      <c r="D112" s="107" t="s">
        <v>272</v>
      </c>
      <c r="E112" s="108" t="s">
        <v>273</v>
      </c>
      <c r="F112" s="109">
        <f t="shared" si="8"/>
        <v>9</v>
      </c>
      <c r="G112" s="107" t="s">
        <v>25</v>
      </c>
      <c r="H112" s="110">
        <v>22.91</v>
      </c>
      <c r="I112" s="110">
        <v>22.91</v>
      </c>
      <c r="J112" s="111">
        <v>0.27529999999999999</v>
      </c>
      <c r="K112" s="110">
        <f t="shared" si="9"/>
        <v>29.217123000000001</v>
      </c>
      <c r="L112" s="112">
        <f t="shared" si="10"/>
        <v>262.98</v>
      </c>
      <c r="M112" s="107" t="s">
        <v>19</v>
      </c>
      <c r="N112" s="107" t="s">
        <v>245</v>
      </c>
      <c r="O112" s="107" t="s">
        <v>241</v>
      </c>
      <c r="P112" s="109">
        <v>9</v>
      </c>
      <c r="Q112" s="110">
        <f t="shared" si="11"/>
        <v>262.98</v>
      </c>
    </row>
    <row r="113" spans="1:17" ht="45" customHeight="1" x14ac:dyDescent="0.3">
      <c r="A113" s="107" t="s">
        <v>21</v>
      </c>
      <c r="B113" s="107" t="s">
        <v>274</v>
      </c>
      <c r="C113" s="107" t="s">
        <v>67</v>
      </c>
      <c r="D113" s="107" t="s">
        <v>157</v>
      </c>
      <c r="E113" s="108" t="s">
        <v>275</v>
      </c>
      <c r="F113" s="109">
        <f t="shared" si="8"/>
        <v>3</v>
      </c>
      <c r="G113" s="107" t="s">
        <v>25</v>
      </c>
      <c r="H113" s="110">
        <v>40.049999999999997</v>
      </c>
      <c r="I113" s="110">
        <v>40.049999999999997</v>
      </c>
      <c r="J113" s="111">
        <v>0.27529999999999999</v>
      </c>
      <c r="K113" s="110">
        <f t="shared" si="9"/>
        <v>51.075764999999997</v>
      </c>
      <c r="L113" s="112">
        <f t="shared" si="10"/>
        <v>153.24</v>
      </c>
      <c r="M113" s="107" t="s">
        <v>19</v>
      </c>
      <c r="N113" s="107" t="s">
        <v>245</v>
      </c>
      <c r="O113" s="107" t="s">
        <v>241</v>
      </c>
      <c r="P113" s="109">
        <v>3</v>
      </c>
      <c r="Q113" s="110">
        <f t="shared" si="11"/>
        <v>153.24</v>
      </c>
    </row>
    <row r="114" spans="1:17" ht="45" customHeight="1" x14ac:dyDescent="0.3">
      <c r="A114" s="107" t="s">
        <v>21</v>
      </c>
      <c r="B114" s="107" t="s">
        <v>276</v>
      </c>
      <c r="C114" s="107" t="s">
        <v>23</v>
      </c>
      <c r="D114" s="107" t="s">
        <v>277</v>
      </c>
      <c r="E114" s="108" t="s">
        <v>278</v>
      </c>
      <c r="F114" s="109">
        <f t="shared" si="8"/>
        <v>1</v>
      </c>
      <c r="G114" s="107" t="s">
        <v>25</v>
      </c>
      <c r="H114" s="110">
        <v>2277.81</v>
      </c>
      <c r="I114" s="110">
        <v>2277.81</v>
      </c>
      <c r="J114" s="111">
        <v>0.27529999999999999</v>
      </c>
      <c r="K114" s="110">
        <f t="shared" si="9"/>
        <v>2904.8910930000002</v>
      </c>
      <c r="L114" s="112">
        <f t="shared" si="10"/>
        <v>2904.89</v>
      </c>
      <c r="M114" s="107" t="s">
        <v>19</v>
      </c>
      <c r="N114" s="107" t="s">
        <v>245</v>
      </c>
      <c r="O114" s="107" t="s">
        <v>241</v>
      </c>
      <c r="P114" s="109">
        <v>1</v>
      </c>
      <c r="Q114" s="110">
        <f t="shared" si="11"/>
        <v>2904.89</v>
      </c>
    </row>
    <row r="115" spans="1:17" ht="45" customHeight="1" x14ac:dyDescent="0.3">
      <c r="A115" s="107" t="s">
        <v>21</v>
      </c>
      <c r="B115" s="107" t="s">
        <v>279</v>
      </c>
      <c r="C115" s="107" t="s">
        <v>67</v>
      </c>
      <c r="D115" s="107" t="s">
        <v>280</v>
      </c>
      <c r="E115" s="108" t="s">
        <v>281</v>
      </c>
      <c r="F115" s="109">
        <f t="shared" si="8"/>
        <v>1</v>
      </c>
      <c r="G115" s="107" t="s">
        <v>25</v>
      </c>
      <c r="H115" s="110">
        <v>720.29</v>
      </c>
      <c r="I115" s="110">
        <v>720.29</v>
      </c>
      <c r="J115" s="111">
        <v>0.27529999999999999</v>
      </c>
      <c r="K115" s="110">
        <f t="shared" si="9"/>
        <v>918.58583699999997</v>
      </c>
      <c r="L115" s="112">
        <f t="shared" si="10"/>
        <v>918.59</v>
      </c>
      <c r="M115" s="107" t="s">
        <v>19</v>
      </c>
      <c r="N115" s="107" t="s">
        <v>245</v>
      </c>
      <c r="O115" s="107" t="s">
        <v>241</v>
      </c>
      <c r="P115" s="109">
        <v>1</v>
      </c>
      <c r="Q115" s="110">
        <f t="shared" si="11"/>
        <v>918.59</v>
      </c>
    </row>
    <row r="116" spans="1:17" ht="45" customHeight="1" x14ac:dyDescent="0.3">
      <c r="A116" s="107" t="s">
        <v>21</v>
      </c>
      <c r="B116" s="107" t="s">
        <v>282</v>
      </c>
      <c r="C116" s="107" t="s">
        <v>23</v>
      </c>
      <c r="D116" s="107" t="s">
        <v>283</v>
      </c>
      <c r="E116" s="108" t="s">
        <v>284</v>
      </c>
      <c r="F116" s="109">
        <f t="shared" si="8"/>
        <v>3</v>
      </c>
      <c r="G116" s="107" t="s">
        <v>25</v>
      </c>
      <c r="H116" s="110">
        <v>13.47</v>
      </c>
      <c r="I116" s="110">
        <v>13.47</v>
      </c>
      <c r="J116" s="111">
        <v>0.27529999999999999</v>
      </c>
      <c r="K116" s="110">
        <f t="shared" si="9"/>
        <v>17.178291000000002</v>
      </c>
      <c r="L116" s="112">
        <f t="shared" si="10"/>
        <v>51.54</v>
      </c>
      <c r="M116" s="107" t="s">
        <v>19</v>
      </c>
      <c r="N116" s="107" t="s">
        <v>245</v>
      </c>
      <c r="O116" s="107" t="s">
        <v>241</v>
      </c>
      <c r="P116" s="109">
        <v>3</v>
      </c>
      <c r="Q116" s="110">
        <f t="shared" si="11"/>
        <v>51.54</v>
      </c>
    </row>
    <row r="117" spans="1:17" ht="45" customHeight="1" x14ac:dyDescent="0.3">
      <c r="A117" s="107" t="s">
        <v>21</v>
      </c>
      <c r="B117" s="107" t="s">
        <v>285</v>
      </c>
      <c r="C117" s="107" t="s">
        <v>23</v>
      </c>
      <c r="D117" s="107" t="s">
        <v>286</v>
      </c>
      <c r="E117" s="108" t="s">
        <v>287</v>
      </c>
      <c r="F117" s="109">
        <f t="shared" si="8"/>
        <v>1</v>
      </c>
      <c r="G117" s="107" t="s">
        <v>25</v>
      </c>
      <c r="H117" s="110">
        <v>14.38</v>
      </c>
      <c r="I117" s="110">
        <v>14.38</v>
      </c>
      <c r="J117" s="111">
        <v>0.27529999999999999</v>
      </c>
      <c r="K117" s="110">
        <f t="shared" si="9"/>
        <v>18.338813999999999</v>
      </c>
      <c r="L117" s="112">
        <f t="shared" si="10"/>
        <v>18.34</v>
      </c>
      <c r="M117" s="107" t="s">
        <v>19</v>
      </c>
      <c r="N117" s="107" t="s">
        <v>245</v>
      </c>
      <c r="O117" s="107" t="s">
        <v>241</v>
      </c>
      <c r="P117" s="109">
        <v>1</v>
      </c>
      <c r="Q117" s="110">
        <f t="shared" si="11"/>
        <v>18.34</v>
      </c>
    </row>
    <row r="118" spans="1:17" ht="45" customHeight="1" x14ac:dyDescent="0.3">
      <c r="A118" s="107" t="s">
        <v>21</v>
      </c>
      <c r="B118" s="107" t="s">
        <v>288</v>
      </c>
      <c r="C118" s="107" t="s">
        <v>23</v>
      </c>
      <c r="D118" s="107" t="s">
        <v>289</v>
      </c>
      <c r="E118" s="108" t="s">
        <v>290</v>
      </c>
      <c r="F118" s="109">
        <f t="shared" si="8"/>
        <v>1</v>
      </c>
      <c r="G118" s="107" t="s">
        <v>25</v>
      </c>
      <c r="H118" s="110">
        <v>92.49</v>
      </c>
      <c r="I118" s="110">
        <v>92.49</v>
      </c>
      <c r="J118" s="111">
        <v>0.27529999999999999</v>
      </c>
      <c r="K118" s="110">
        <f t="shared" si="9"/>
        <v>117.95249699999999</v>
      </c>
      <c r="L118" s="112">
        <f t="shared" si="10"/>
        <v>117.95</v>
      </c>
      <c r="M118" s="107" t="s">
        <v>19</v>
      </c>
      <c r="N118" s="107" t="s">
        <v>245</v>
      </c>
      <c r="O118" s="107" t="s">
        <v>241</v>
      </c>
      <c r="P118" s="109">
        <v>1</v>
      </c>
      <c r="Q118" s="110">
        <f t="shared" si="11"/>
        <v>117.95</v>
      </c>
    </row>
    <row r="119" spans="1:17" ht="45" customHeight="1" x14ac:dyDescent="0.3">
      <c r="A119" s="107" t="s">
        <v>21</v>
      </c>
      <c r="B119" s="107" t="s">
        <v>291</v>
      </c>
      <c r="C119" s="107" t="s">
        <v>23</v>
      </c>
      <c r="D119" s="107" t="s">
        <v>292</v>
      </c>
      <c r="E119" s="108" t="s">
        <v>293</v>
      </c>
      <c r="F119" s="109">
        <f t="shared" si="8"/>
        <v>4</v>
      </c>
      <c r="G119" s="107" t="s">
        <v>25</v>
      </c>
      <c r="H119" s="110">
        <v>128.69</v>
      </c>
      <c r="I119" s="110">
        <v>128.69</v>
      </c>
      <c r="J119" s="111">
        <v>0.27529999999999999</v>
      </c>
      <c r="K119" s="110">
        <f t="shared" si="9"/>
        <v>164.118357</v>
      </c>
      <c r="L119" s="112">
        <f t="shared" si="10"/>
        <v>656.48</v>
      </c>
      <c r="M119" s="107" t="s">
        <v>19</v>
      </c>
      <c r="N119" s="107" t="s">
        <v>245</v>
      </c>
      <c r="O119" s="107" t="s">
        <v>241</v>
      </c>
      <c r="P119" s="109">
        <v>4</v>
      </c>
      <c r="Q119" s="110">
        <f t="shared" si="11"/>
        <v>656.48</v>
      </c>
    </row>
    <row r="120" spans="1:17" ht="45" customHeight="1" x14ac:dyDescent="0.3">
      <c r="A120" s="107" t="s">
        <v>21</v>
      </c>
      <c r="B120" s="107" t="s">
        <v>294</v>
      </c>
      <c r="C120" s="107" t="s">
        <v>67</v>
      </c>
      <c r="D120" s="107" t="s">
        <v>295</v>
      </c>
      <c r="E120" s="108" t="s">
        <v>296</v>
      </c>
      <c r="F120" s="109">
        <f t="shared" si="8"/>
        <v>19</v>
      </c>
      <c r="G120" s="107" t="s">
        <v>25</v>
      </c>
      <c r="H120" s="110">
        <v>102.67</v>
      </c>
      <c r="I120" s="110">
        <v>102.67</v>
      </c>
      <c r="J120" s="111">
        <v>0.27529999999999999</v>
      </c>
      <c r="K120" s="110">
        <f t="shared" si="9"/>
        <v>130.93505099999999</v>
      </c>
      <c r="L120" s="112">
        <f t="shared" si="10"/>
        <v>2487.86</v>
      </c>
      <c r="M120" s="107" t="s">
        <v>19</v>
      </c>
      <c r="N120" s="107" t="s">
        <v>245</v>
      </c>
      <c r="O120" s="107" t="s">
        <v>241</v>
      </c>
      <c r="P120" s="109">
        <v>19</v>
      </c>
      <c r="Q120" s="110">
        <f t="shared" si="11"/>
        <v>2487.86</v>
      </c>
    </row>
    <row r="121" spans="1:17" ht="45" customHeight="1" x14ac:dyDescent="0.3">
      <c r="A121" s="107" t="s">
        <v>21</v>
      </c>
      <c r="B121" s="107" t="s">
        <v>297</v>
      </c>
      <c r="C121" s="107" t="s">
        <v>23</v>
      </c>
      <c r="D121" s="107" t="s">
        <v>298</v>
      </c>
      <c r="E121" s="108" t="s">
        <v>299</v>
      </c>
      <c r="F121" s="109">
        <f t="shared" si="8"/>
        <v>5</v>
      </c>
      <c r="G121" s="107" t="s">
        <v>98</v>
      </c>
      <c r="H121" s="110">
        <v>89.31</v>
      </c>
      <c r="I121" s="110">
        <v>89.31</v>
      </c>
      <c r="J121" s="111">
        <v>0.27529999999999999</v>
      </c>
      <c r="K121" s="110">
        <f t="shared" si="9"/>
        <v>113.897043</v>
      </c>
      <c r="L121" s="112">
        <f t="shared" si="10"/>
        <v>569.5</v>
      </c>
      <c r="M121" s="107" t="s">
        <v>19</v>
      </c>
      <c r="N121" s="107" t="s">
        <v>245</v>
      </c>
      <c r="O121" s="107" t="s">
        <v>241</v>
      </c>
      <c r="P121" s="109">
        <v>5</v>
      </c>
      <c r="Q121" s="110">
        <f t="shared" si="11"/>
        <v>569.5</v>
      </c>
    </row>
    <row r="122" spans="1:17" ht="45" customHeight="1" x14ac:dyDescent="0.3">
      <c r="A122" s="107" t="s">
        <v>21</v>
      </c>
      <c r="B122" s="107" t="s">
        <v>300</v>
      </c>
      <c r="C122" s="107" t="s">
        <v>23</v>
      </c>
      <c r="D122" s="107" t="s">
        <v>301</v>
      </c>
      <c r="E122" s="108" t="s">
        <v>302</v>
      </c>
      <c r="F122" s="109">
        <f t="shared" si="8"/>
        <v>5</v>
      </c>
      <c r="G122" s="107" t="s">
        <v>25</v>
      </c>
      <c r="H122" s="110">
        <v>45.25</v>
      </c>
      <c r="I122" s="110">
        <v>45.25</v>
      </c>
      <c r="J122" s="111">
        <v>0.27529999999999999</v>
      </c>
      <c r="K122" s="110">
        <f t="shared" si="9"/>
        <v>57.707324999999997</v>
      </c>
      <c r="L122" s="112">
        <f t="shared" si="10"/>
        <v>288.55</v>
      </c>
      <c r="M122" s="107" t="s">
        <v>19</v>
      </c>
      <c r="N122" s="107" t="s">
        <v>245</v>
      </c>
      <c r="O122" s="107" t="s">
        <v>241</v>
      </c>
      <c r="P122" s="109">
        <v>5</v>
      </c>
      <c r="Q122" s="110">
        <f t="shared" si="11"/>
        <v>288.55</v>
      </c>
    </row>
    <row r="123" spans="1:17" ht="45" customHeight="1" x14ac:dyDescent="0.3">
      <c r="A123" s="107" t="s">
        <v>21</v>
      </c>
      <c r="B123" s="107" t="s">
        <v>303</v>
      </c>
      <c r="C123" s="107" t="s">
        <v>23</v>
      </c>
      <c r="D123" s="107" t="s">
        <v>304</v>
      </c>
      <c r="E123" s="108" t="s">
        <v>305</v>
      </c>
      <c r="F123" s="109">
        <f t="shared" si="8"/>
        <v>8</v>
      </c>
      <c r="G123" s="107" t="s">
        <v>25</v>
      </c>
      <c r="H123" s="110">
        <v>19.420000000000002</v>
      </c>
      <c r="I123" s="110">
        <v>19.420000000000002</v>
      </c>
      <c r="J123" s="111">
        <v>0.27529999999999999</v>
      </c>
      <c r="K123" s="110">
        <f t="shared" si="9"/>
        <v>24.766326000000003</v>
      </c>
      <c r="L123" s="112">
        <f t="shared" si="10"/>
        <v>198.16</v>
      </c>
      <c r="M123" s="107" t="s">
        <v>19</v>
      </c>
      <c r="N123" s="107" t="s">
        <v>245</v>
      </c>
      <c r="O123" s="107" t="s">
        <v>241</v>
      </c>
      <c r="P123" s="109">
        <v>8</v>
      </c>
      <c r="Q123" s="110">
        <f t="shared" si="11"/>
        <v>198.16</v>
      </c>
    </row>
    <row r="124" spans="1:17" ht="45" customHeight="1" x14ac:dyDescent="0.3">
      <c r="A124" s="107" t="s">
        <v>21</v>
      </c>
      <c r="B124" s="107" t="s">
        <v>306</v>
      </c>
      <c r="C124" s="107" t="s">
        <v>23</v>
      </c>
      <c r="D124" s="107" t="s">
        <v>307</v>
      </c>
      <c r="E124" s="108" t="s">
        <v>308</v>
      </c>
      <c r="F124" s="109">
        <f t="shared" si="8"/>
        <v>16</v>
      </c>
      <c r="G124" s="107" t="s">
        <v>25</v>
      </c>
      <c r="H124" s="110">
        <v>77.88</v>
      </c>
      <c r="I124" s="110">
        <v>77.88</v>
      </c>
      <c r="J124" s="111">
        <v>0.27529999999999999</v>
      </c>
      <c r="K124" s="110">
        <f t="shared" si="9"/>
        <v>99.320363999999998</v>
      </c>
      <c r="L124" s="112">
        <f t="shared" si="10"/>
        <v>1589.12</v>
      </c>
      <c r="M124" s="107" t="s">
        <v>19</v>
      </c>
      <c r="N124" s="107" t="s">
        <v>245</v>
      </c>
      <c r="O124" s="107" t="s">
        <v>241</v>
      </c>
      <c r="P124" s="109">
        <v>16</v>
      </c>
      <c r="Q124" s="110">
        <f t="shared" si="11"/>
        <v>1589.12</v>
      </c>
    </row>
    <row r="125" spans="1:17" ht="45" customHeight="1" x14ac:dyDescent="0.3">
      <c r="A125" s="107" t="s">
        <v>21</v>
      </c>
      <c r="B125" s="107" t="s">
        <v>309</v>
      </c>
      <c r="C125" s="107" t="s">
        <v>23</v>
      </c>
      <c r="D125" s="107" t="s">
        <v>310</v>
      </c>
      <c r="E125" s="108" t="s">
        <v>311</v>
      </c>
      <c r="F125" s="109">
        <f t="shared" si="8"/>
        <v>13</v>
      </c>
      <c r="G125" s="107" t="s">
        <v>25</v>
      </c>
      <c r="H125" s="110">
        <v>158.11000000000001</v>
      </c>
      <c r="I125" s="110">
        <v>158.11000000000001</v>
      </c>
      <c r="J125" s="111">
        <v>0.27529999999999999</v>
      </c>
      <c r="K125" s="110">
        <f t="shared" si="9"/>
        <v>201.63768300000001</v>
      </c>
      <c r="L125" s="112">
        <f t="shared" si="10"/>
        <v>2621.3200000000002</v>
      </c>
      <c r="M125" s="107" t="s">
        <v>19</v>
      </c>
      <c r="N125" s="107" t="s">
        <v>245</v>
      </c>
      <c r="O125" s="107" t="s">
        <v>241</v>
      </c>
      <c r="P125" s="109">
        <v>13</v>
      </c>
      <c r="Q125" s="110">
        <f t="shared" si="11"/>
        <v>2621.3199999999997</v>
      </c>
    </row>
    <row r="126" spans="1:17" ht="45" customHeight="1" x14ac:dyDescent="0.3">
      <c r="A126" s="107" t="s">
        <v>21</v>
      </c>
      <c r="B126" s="107" t="s">
        <v>312</v>
      </c>
      <c r="C126" s="107" t="s">
        <v>23</v>
      </c>
      <c r="D126" s="107" t="s">
        <v>313</v>
      </c>
      <c r="E126" s="108" t="s">
        <v>314</v>
      </c>
      <c r="F126" s="109">
        <f t="shared" si="8"/>
        <v>6</v>
      </c>
      <c r="G126" s="107" t="s">
        <v>25</v>
      </c>
      <c r="H126" s="110">
        <v>3354.55</v>
      </c>
      <c r="I126" s="110">
        <v>3354.55</v>
      </c>
      <c r="J126" s="111">
        <v>0.27529999999999999</v>
      </c>
      <c r="K126" s="110">
        <f t="shared" si="9"/>
        <v>4278.0576149999997</v>
      </c>
      <c r="L126" s="112">
        <f t="shared" si="10"/>
        <v>25668.36</v>
      </c>
      <c r="M126" s="107" t="s">
        <v>19</v>
      </c>
      <c r="N126" s="107" t="s">
        <v>245</v>
      </c>
      <c r="O126" s="107" t="s">
        <v>241</v>
      </c>
      <c r="P126" s="109">
        <v>6</v>
      </c>
      <c r="Q126" s="110">
        <f t="shared" si="11"/>
        <v>25668.36</v>
      </c>
    </row>
    <row r="127" spans="1:17" ht="45" customHeight="1" x14ac:dyDescent="0.3">
      <c r="A127" s="107" t="s">
        <v>21</v>
      </c>
      <c r="B127" s="107" t="s">
        <v>315</v>
      </c>
      <c r="C127" s="107" t="s">
        <v>67</v>
      </c>
      <c r="D127" s="107" t="s">
        <v>316</v>
      </c>
      <c r="E127" s="108" t="s">
        <v>317</v>
      </c>
      <c r="F127" s="109">
        <f t="shared" si="8"/>
        <v>2</v>
      </c>
      <c r="G127" s="107" t="s">
        <v>25</v>
      </c>
      <c r="H127" s="110">
        <v>3173.01</v>
      </c>
      <c r="I127" s="110">
        <v>3173.01</v>
      </c>
      <c r="J127" s="111">
        <v>0.27529999999999999</v>
      </c>
      <c r="K127" s="110">
        <f t="shared" si="9"/>
        <v>4046.5396530000003</v>
      </c>
      <c r="L127" s="112">
        <f t="shared" si="10"/>
        <v>8093.08</v>
      </c>
      <c r="M127" s="107" t="s">
        <v>19</v>
      </c>
      <c r="N127" s="107" t="s">
        <v>245</v>
      </c>
      <c r="O127" s="107" t="s">
        <v>241</v>
      </c>
      <c r="P127" s="109">
        <v>2</v>
      </c>
      <c r="Q127" s="110">
        <f t="shared" si="11"/>
        <v>8093.08</v>
      </c>
    </row>
    <row r="128" spans="1:17" ht="45" customHeight="1" x14ac:dyDescent="0.3">
      <c r="A128" s="104" t="s">
        <v>17</v>
      </c>
      <c r="B128" s="104" t="s">
        <v>245</v>
      </c>
      <c r="C128" s="104" t="s">
        <v>19</v>
      </c>
      <c r="D128" s="104" t="s">
        <v>19</v>
      </c>
      <c r="E128" s="105" t="s">
        <v>318</v>
      </c>
      <c r="F128" s="104" t="s">
        <v>19</v>
      </c>
      <c r="G128" s="104" t="s">
        <v>19</v>
      </c>
      <c r="H128" s="104" t="s">
        <v>19</v>
      </c>
      <c r="I128" s="104" t="s">
        <v>19</v>
      </c>
      <c r="J128" s="104" t="s">
        <v>19</v>
      </c>
      <c r="K128" s="104" t="s">
        <v>19</v>
      </c>
      <c r="L128" s="106">
        <f>ROUND(L129,2)+ROUND(L130,2)+ROUND(L131,2)+ROUND(L132,2)+ROUND(L133,2)+ROUND(L134,2)+ROUND(L135,2)+ROUND(L136,2)</f>
        <v>3230.7000000000007</v>
      </c>
      <c r="M128" s="104" t="s">
        <v>19</v>
      </c>
      <c r="N128" s="104" t="s">
        <v>19</v>
      </c>
      <c r="O128" s="104" t="s">
        <v>19</v>
      </c>
      <c r="P128" s="104" t="s">
        <v>19</v>
      </c>
      <c r="Q128" s="104" t="s">
        <v>19</v>
      </c>
    </row>
    <row r="129" spans="1:17" ht="45" customHeight="1" x14ac:dyDescent="0.3">
      <c r="A129" s="107" t="s">
        <v>21</v>
      </c>
      <c r="B129" s="107" t="s">
        <v>319</v>
      </c>
      <c r="C129" s="107" t="s">
        <v>23</v>
      </c>
      <c r="D129" s="107" t="s">
        <v>320</v>
      </c>
      <c r="E129" s="108" t="s">
        <v>321</v>
      </c>
      <c r="F129" s="109">
        <f t="shared" ref="F129:F136" si="12">P129</f>
        <v>66</v>
      </c>
      <c r="G129" s="107" t="s">
        <v>98</v>
      </c>
      <c r="H129" s="110">
        <v>23.14</v>
      </c>
      <c r="I129" s="110">
        <v>23.14</v>
      </c>
      <c r="J129" s="111">
        <v>0.27529999999999999</v>
      </c>
      <c r="K129" s="110">
        <f t="shared" ref="K129:K136" si="13">ROUND(I129,2)+(ROUND(I129,2)*J129)</f>
        <v>29.510442000000001</v>
      </c>
      <c r="L129" s="112">
        <f t="shared" ref="L129:L136" si="14">ROUND(Q129,2)</f>
        <v>1947.66</v>
      </c>
      <c r="M129" s="107" t="s">
        <v>19</v>
      </c>
      <c r="N129" s="107" t="s">
        <v>322</v>
      </c>
      <c r="O129" s="107" t="s">
        <v>318</v>
      </c>
      <c r="P129" s="109">
        <v>66</v>
      </c>
      <c r="Q129" s="110">
        <f t="shared" ref="Q129:Q136" si="15">ROUND(K129,2)*P129</f>
        <v>1947.66</v>
      </c>
    </row>
    <row r="130" spans="1:17" ht="45" customHeight="1" x14ac:dyDescent="0.3">
      <c r="A130" s="107" t="s">
        <v>21</v>
      </c>
      <c r="B130" s="107" t="s">
        <v>323</v>
      </c>
      <c r="C130" s="107" t="s">
        <v>23</v>
      </c>
      <c r="D130" s="107" t="s">
        <v>324</v>
      </c>
      <c r="E130" s="108" t="s">
        <v>325</v>
      </c>
      <c r="F130" s="109">
        <f t="shared" si="12"/>
        <v>21</v>
      </c>
      <c r="G130" s="107" t="s">
        <v>98</v>
      </c>
      <c r="H130" s="110">
        <v>31.94</v>
      </c>
      <c r="I130" s="110">
        <v>31.94</v>
      </c>
      <c r="J130" s="111">
        <v>0.27529999999999999</v>
      </c>
      <c r="K130" s="110">
        <f t="shared" si="13"/>
        <v>40.733082000000003</v>
      </c>
      <c r="L130" s="112">
        <f t="shared" si="14"/>
        <v>855.33</v>
      </c>
      <c r="M130" s="107" t="s">
        <v>19</v>
      </c>
      <c r="N130" s="107" t="s">
        <v>322</v>
      </c>
      <c r="O130" s="107" t="s">
        <v>318</v>
      </c>
      <c r="P130" s="109">
        <v>21</v>
      </c>
      <c r="Q130" s="110">
        <f t="shared" si="15"/>
        <v>855.32999999999993</v>
      </c>
    </row>
    <row r="131" spans="1:17" ht="45" customHeight="1" x14ac:dyDescent="0.3">
      <c r="A131" s="107" t="s">
        <v>21</v>
      </c>
      <c r="B131" s="107" t="s">
        <v>326</v>
      </c>
      <c r="C131" s="107" t="s">
        <v>23</v>
      </c>
      <c r="D131" s="107" t="s">
        <v>327</v>
      </c>
      <c r="E131" s="108" t="s">
        <v>328</v>
      </c>
      <c r="F131" s="109">
        <f t="shared" si="12"/>
        <v>4</v>
      </c>
      <c r="G131" s="107" t="s">
        <v>25</v>
      </c>
      <c r="H131" s="110">
        <v>9.0399999999999991</v>
      </c>
      <c r="I131" s="110">
        <v>9.0399999999999991</v>
      </c>
      <c r="J131" s="111">
        <v>0.27529999999999999</v>
      </c>
      <c r="K131" s="110">
        <f t="shared" si="13"/>
        <v>11.528711999999999</v>
      </c>
      <c r="L131" s="112">
        <f t="shared" si="14"/>
        <v>46.12</v>
      </c>
      <c r="M131" s="107" t="s">
        <v>19</v>
      </c>
      <c r="N131" s="107" t="s">
        <v>322</v>
      </c>
      <c r="O131" s="107" t="s">
        <v>318</v>
      </c>
      <c r="P131" s="109">
        <v>4</v>
      </c>
      <c r="Q131" s="110">
        <f t="shared" si="15"/>
        <v>46.12</v>
      </c>
    </row>
    <row r="132" spans="1:17" ht="45" customHeight="1" x14ac:dyDescent="0.3">
      <c r="A132" s="107" t="s">
        <v>21</v>
      </c>
      <c r="B132" s="107" t="s">
        <v>329</v>
      </c>
      <c r="C132" s="107" t="s">
        <v>23</v>
      </c>
      <c r="D132" s="107" t="s">
        <v>330</v>
      </c>
      <c r="E132" s="108" t="s">
        <v>331</v>
      </c>
      <c r="F132" s="109">
        <f t="shared" si="12"/>
        <v>3</v>
      </c>
      <c r="G132" s="107" t="s">
        <v>25</v>
      </c>
      <c r="H132" s="110">
        <v>16.010000000000002</v>
      </c>
      <c r="I132" s="110">
        <v>16.010000000000002</v>
      </c>
      <c r="J132" s="111">
        <v>0.27529999999999999</v>
      </c>
      <c r="K132" s="110">
        <f t="shared" si="13"/>
        <v>20.417553000000002</v>
      </c>
      <c r="L132" s="112">
        <f t="shared" si="14"/>
        <v>61.26</v>
      </c>
      <c r="M132" s="107" t="s">
        <v>19</v>
      </c>
      <c r="N132" s="107" t="s">
        <v>322</v>
      </c>
      <c r="O132" s="107" t="s">
        <v>318</v>
      </c>
      <c r="P132" s="109">
        <v>3</v>
      </c>
      <c r="Q132" s="110">
        <f t="shared" si="15"/>
        <v>61.260000000000005</v>
      </c>
    </row>
    <row r="133" spans="1:17" ht="45" customHeight="1" x14ac:dyDescent="0.3">
      <c r="A133" s="107" t="s">
        <v>21</v>
      </c>
      <c r="B133" s="107" t="s">
        <v>332</v>
      </c>
      <c r="C133" s="107" t="s">
        <v>23</v>
      </c>
      <c r="D133" s="107" t="s">
        <v>333</v>
      </c>
      <c r="E133" s="108" t="s">
        <v>334</v>
      </c>
      <c r="F133" s="109">
        <f t="shared" si="12"/>
        <v>1</v>
      </c>
      <c r="G133" s="107" t="s">
        <v>25</v>
      </c>
      <c r="H133" s="110">
        <v>11.38</v>
      </c>
      <c r="I133" s="110">
        <v>11.38</v>
      </c>
      <c r="J133" s="111">
        <v>0.27529999999999999</v>
      </c>
      <c r="K133" s="110">
        <f t="shared" si="13"/>
        <v>14.512914</v>
      </c>
      <c r="L133" s="112">
        <f t="shared" si="14"/>
        <v>14.51</v>
      </c>
      <c r="M133" s="107" t="s">
        <v>19</v>
      </c>
      <c r="N133" s="107" t="s">
        <v>322</v>
      </c>
      <c r="O133" s="107" t="s">
        <v>318</v>
      </c>
      <c r="P133" s="109">
        <v>1</v>
      </c>
      <c r="Q133" s="110">
        <f t="shared" si="15"/>
        <v>14.51</v>
      </c>
    </row>
    <row r="134" spans="1:17" ht="45" customHeight="1" x14ac:dyDescent="0.3">
      <c r="A134" s="107" t="s">
        <v>21</v>
      </c>
      <c r="B134" s="107" t="s">
        <v>335</v>
      </c>
      <c r="C134" s="107" t="s">
        <v>23</v>
      </c>
      <c r="D134" s="107" t="s">
        <v>336</v>
      </c>
      <c r="E134" s="108" t="s">
        <v>337</v>
      </c>
      <c r="F134" s="109">
        <f t="shared" si="12"/>
        <v>2</v>
      </c>
      <c r="G134" s="107" t="s">
        <v>25</v>
      </c>
      <c r="H134" s="110">
        <v>19.34</v>
      </c>
      <c r="I134" s="110">
        <v>19.34</v>
      </c>
      <c r="J134" s="111">
        <v>0.27529999999999999</v>
      </c>
      <c r="K134" s="110">
        <f t="shared" si="13"/>
        <v>24.664301999999999</v>
      </c>
      <c r="L134" s="112">
        <f t="shared" si="14"/>
        <v>49.32</v>
      </c>
      <c r="M134" s="107" t="s">
        <v>19</v>
      </c>
      <c r="N134" s="107" t="s">
        <v>322</v>
      </c>
      <c r="O134" s="107" t="s">
        <v>318</v>
      </c>
      <c r="P134" s="109">
        <v>2</v>
      </c>
      <c r="Q134" s="110">
        <f t="shared" si="15"/>
        <v>49.32</v>
      </c>
    </row>
    <row r="135" spans="1:17" ht="45" customHeight="1" x14ac:dyDescent="0.3">
      <c r="A135" s="107" t="s">
        <v>21</v>
      </c>
      <c r="B135" s="107" t="s">
        <v>338</v>
      </c>
      <c r="C135" s="107" t="s">
        <v>23</v>
      </c>
      <c r="D135" s="107" t="s">
        <v>339</v>
      </c>
      <c r="E135" s="108" t="s">
        <v>340</v>
      </c>
      <c r="F135" s="109">
        <f t="shared" si="12"/>
        <v>2</v>
      </c>
      <c r="G135" s="107" t="s">
        <v>25</v>
      </c>
      <c r="H135" s="110">
        <v>9.67</v>
      </c>
      <c r="I135" s="110">
        <v>9.67</v>
      </c>
      <c r="J135" s="111">
        <v>0.27529999999999999</v>
      </c>
      <c r="K135" s="110">
        <f t="shared" si="13"/>
        <v>12.332151</v>
      </c>
      <c r="L135" s="112">
        <f t="shared" si="14"/>
        <v>24.66</v>
      </c>
      <c r="M135" s="107" t="s">
        <v>19</v>
      </c>
      <c r="N135" s="107" t="s">
        <v>322</v>
      </c>
      <c r="O135" s="107" t="s">
        <v>318</v>
      </c>
      <c r="P135" s="109">
        <v>2</v>
      </c>
      <c r="Q135" s="110">
        <f t="shared" si="15"/>
        <v>24.66</v>
      </c>
    </row>
    <row r="136" spans="1:17" ht="45" customHeight="1" x14ac:dyDescent="0.3">
      <c r="A136" s="107" t="s">
        <v>21</v>
      </c>
      <c r="B136" s="107" t="s">
        <v>341</v>
      </c>
      <c r="C136" s="107" t="s">
        <v>23</v>
      </c>
      <c r="D136" s="107" t="s">
        <v>342</v>
      </c>
      <c r="E136" s="108" t="s">
        <v>343</v>
      </c>
      <c r="F136" s="109">
        <f t="shared" si="12"/>
        <v>3</v>
      </c>
      <c r="G136" s="107" t="s">
        <v>25</v>
      </c>
      <c r="H136" s="110">
        <v>60.6</v>
      </c>
      <c r="I136" s="110">
        <v>60.6</v>
      </c>
      <c r="J136" s="111">
        <v>0.27529999999999999</v>
      </c>
      <c r="K136" s="110">
        <f t="shared" si="13"/>
        <v>77.283180000000002</v>
      </c>
      <c r="L136" s="112">
        <f t="shared" si="14"/>
        <v>231.84</v>
      </c>
      <c r="M136" s="107" t="s">
        <v>19</v>
      </c>
      <c r="N136" s="107" t="s">
        <v>322</v>
      </c>
      <c r="O136" s="107" t="s">
        <v>318</v>
      </c>
      <c r="P136" s="109">
        <v>3</v>
      </c>
      <c r="Q136" s="110">
        <f t="shared" si="15"/>
        <v>231.84</v>
      </c>
    </row>
    <row r="137" spans="1:17" ht="45" customHeight="1" x14ac:dyDescent="0.3">
      <c r="A137" s="104" t="s">
        <v>17</v>
      </c>
      <c r="B137" s="104" t="s">
        <v>322</v>
      </c>
      <c r="C137" s="104" t="s">
        <v>19</v>
      </c>
      <c r="D137" s="104" t="s">
        <v>19</v>
      </c>
      <c r="E137" s="105" t="s">
        <v>344</v>
      </c>
      <c r="F137" s="104" t="s">
        <v>19</v>
      </c>
      <c r="G137" s="104" t="s">
        <v>19</v>
      </c>
      <c r="H137" s="104" t="s">
        <v>19</v>
      </c>
      <c r="I137" s="104" t="s">
        <v>19</v>
      </c>
      <c r="J137" s="104" t="s">
        <v>19</v>
      </c>
      <c r="K137" s="104" t="s">
        <v>19</v>
      </c>
      <c r="L137" s="106">
        <f>ROUND(L138,2)+ROUND(L139,2)+ROUND(L140,2)+ROUND(L141,2)</f>
        <v>34618.660000000003</v>
      </c>
      <c r="M137" s="104" t="s">
        <v>19</v>
      </c>
      <c r="N137" s="104" t="s">
        <v>19</v>
      </c>
      <c r="O137" s="104" t="s">
        <v>19</v>
      </c>
      <c r="P137" s="104" t="s">
        <v>19</v>
      </c>
      <c r="Q137" s="104" t="s">
        <v>19</v>
      </c>
    </row>
    <row r="138" spans="1:17" ht="45" customHeight="1" x14ac:dyDescent="0.3">
      <c r="A138" s="107" t="s">
        <v>21</v>
      </c>
      <c r="B138" s="107" t="s">
        <v>345</v>
      </c>
      <c r="C138" s="107" t="s">
        <v>23</v>
      </c>
      <c r="D138" s="107" t="s">
        <v>346</v>
      </c>
      <c r="E138" s="108" t="s">
        <v>347</v>
      </c>
      <c r="F138" s="109">
        <f>P138</f>
        <v>39</v>
      </c>
      <c r="G138" s="107" t="s">
        <v>98</v>
      </c>
      <c r="H138" s="110">
        <v>48.18</v>
      </c>
      <c r="I138" s="110">
        <v>48.18</v>
      </c>
      <c r="J138" s="111">
        <v>0.27529999999999999</v>
      </c>
      <c r="K138" s="110">
        <f>ROUND(I138,2)+(ROUND(I138,2)*J138)</f>
        <v>61.443953999999998</v>
      </c>
      <c r="L138" s="112">
        <f>ROUND(Q138,2)</f>
        <v>2396.16</v>
      </c>
      <c r="M138" s="107" t="s">
        <v>19</v>
      </c>
      <c r="N138" s="107" t="s">
        <v>348</v>
      </c>
      <c r="O138" s="107" t="s">
        <v>344</v>
      </c>
      <c r="P138" s="109">
        <v>39</v>
      </c>
      <c r="Q138" s="110">
        <f>ROUND(K138,2)*P138</f>
        <v>2396.16</v>
      </c>
    </row>
    <row r="139" spans="1:17" ht="45" customHeight="1" x14ac:dyDescent="0.3">
      <c r="A139" s="107" t="s">
        <v>21</v>
      </c>
      <c r="B139" s="107" t="s">
        <v>349</v>
      </c>
      <c r="C139" s="107" t="s">
        <v>23</v>
      </c>
      <c r="D139" s="107" t="s">
        <v>350</v>
      </c>
      <c r="E139" s="108" t="s">
        <v>351</v>
      </c>
      <c r="F139" s="109">
        <f>P139</f>
        <v>10</v>
      </c>
      <c r="G139" s="107" t="s">
        <v>25</v>
      </c>
      <c r="H139" s="110">
        <v>73.16</v>
      </c>
      <c r="I139" s="110">
        <v>73.16</v>
      </c>
      <c r="J139" s="111">
        <v>0.27529999999999999</v>
      </c>
      <c r="K139" s="110">
        <f>ROUND(I139,2)+(ROUND(I139,2)*J139)</f>
        <v>93.300947999999991</v>
      </c>
      <c r="L139" s="112">
        <f>ROUND(Q139,2)</f>
        <v>933</v>
      </c>
      <c r="M139" s="107" t="s">
        <v>19</v>
      </c>
      <c r="N139" s="107" t="s">
        <v>348</v>
      </c>
      <c r="O139" s="107" t="s">
        <v>344</v>
      </c>
      <c r="P139" s="109">
        <v>10</v>
      </c>
      <c r="Q139" s="110">
        <f>ROUND(K139,2)*P139</f>
        <v>933</v>
      </c>
    </row>
    <row r="140" spans="1:17" ht="45" customHeight="1" x14ac:dyDescent="0.3">
      <c r="A140" s="107" t="s">
        <v>21</v>
      </c>
      <c r="B140" s="107" t="s">
        <v>352</v>
      </c>
      <c r="C140" s="107" t="s">
        <v>67</v>
      </c>
      <c r="D140" s="107" t="s">
        <v>353</v>
      </c>
      <c r="E140" s="108" t="s">
        <v>354</v>
      </c>
      <c r="F140" s="109">
        <f>P140</f>
        <v>2</v>
      </c>
      <c r="G140" s="107" t="s">
        <v>25</v>
      </c>
      <c r="H140" s="110">
        <v>575.20000000000005</v>
      </c>
      <c r="I140" s="110">
        <v>575.20000000000005</v>
      </c>
      <c r="J140" s="111">
        <v>0.27529999999999999</v>
      </c>
      <c r="K140" s="110">
        <f>ROUND(I140,2)+(ROUND(I140,2)*J140)</f>
        <v>733.55256000000008</v>
      </c>
      <c r="L140" s="112">
        <f>ROUND(Q140,2)</f>
        <v>1467.1</v>
      </c>
      <c r="M140" s="107" t="s">
        <v>19</v>
      </c>
      <c r="N140" s="107" t="s">
        <v>348</v>
      </c>
      <c r="O140" s="107" t="s">
        <v>344</v>
      </c>
      <c r="P140" s="109">
        <v>2</v>
      </c>
      <c r="Q140" s="110">
        <f>ROUND(K140,2)*P140</f>
        <v>1467.1</v>
      </c>
    </row>
    <row r="141" spans="1:17" ht="45" customHeight="1" x14ac:dyDescent="0.3">
      <c r="A141" s="107" t="s">
        <v>21</v>
      </c>
      <c r="B141" s="107" t="s">
        <v>355</v>
      </c>
      <c r="C141" s="107" t="s">
        <v>67</v>
      </c>
      <c r="D141" s="107" t="s">
        <v>356</v>
      </c>
      <c r="E141" s="108" t="s">
        <v>357</v>
      </c>
      <c r="F141" s="109">
        <f>P141</f>
        <v>360</v>
      </c>
      <c r="G141" s="107" t="s">
        <v>98</v>
      </c>
      <c r="H141" s="110">
        <v>64.959999999999994</v>
      </c>
      <c r="I141" s="110">
        <v>64.959999999999994</v>
      </c>
      <c r="J141" s="111">
        <v>0.27529999999999999</v>
      </c>
      <c r="K141" s="110">
        <f>ROUND(I141,2)+(ROUND(I141,2)*J141)</f>
        <v>82.843487999999994</v>
      </c>
      <c r="L141" s="112">
        <f>ROUND(Q141,2)</f>
        <v>29822.400000000001</v>
      </c>
      <c r="M141" s="107" t="s">
        <v>19</v>
      </c>
      <c r="N141" s="107" t="s">
        <v>348</v>
      </c>
      <c r="O141" s="107" t="s">
        <v>344</v>
      </c>
      <c r="P141" s="109">
        <v>360</v>
      </c>
      <c r="Q141" s="110">
        <f>ROUND(K141,2)*P141</f>
        <v>29822.400000000001</v>
      </c>
    </row>
    <row r="142" spans="1:17" ht="45" customHeight="1" x14ac:dyDescent="0.3">
      <c r="A142" s="104" t="s">
        <v>19</v>
      </c>
      <c r="B142" s="104" t="s">
        <v>19</v>
      </c>
      <c r="C142" s="104" t="s">
        <v>19</v>
      </c>
      <c r="D142" s="104" t="s">
        <v>19</v>
      </c>
      <c r="E142" s="105" t="s">
        <v>19</v>
      </c>
      <c r="F142" s="104" t="s">
        <v>19</v>
      </c>
      <c r="G142" s="104" t="s">
        <v>19</v>
      </c>
      <c r="H142" s="104" t="s">
        <v>19</v>
      </c>
      <c r="I142" s="104" t="s">
        <v>19</v>
      </c>
      <c r="J142" s="104" t="s">
        <v>19</v>
      </c>
      <c r="K142" s="104" t="s">
        <v>19</v>
      </c>
      <c r="L142" s="104" t="s">
        <v>19</v>
      </c>
      <c r="M142" s="104" t="s">
        <v>19</v>
      </c>
      <c r="N142" s="104" t="s">
        <v>19</v>
      </c>
      <c r="O142" s="104" t="s">
        <v>19</v>
      </c>
      <c r="P142" s="104" t="s">
        <v>358</v>
      </c>
      <c r="Q142" s="113">
        <f>L6+L8+L14+L19+L26+L32+L38+L41+L44+L46+L51+L56+L58+L63+L68+L74+L78+L81+L87+L93+L101+L128+L137</f>
        <v>1517817.91</v>
      </c>
    </row>
    <row r="143" spans="1:17" ht="45" customHeight="1" x14ac:dyDescent="0.3">
      <c r="A143" s="104" t="s">
        <v>19</v>
      </c>
      <c r="B143" s="104" t="s">
        <v>19</v>
      </c>
      <c r="C143" s="104" t="s">
        <v>19</v>
      </c>
      <c r="D143" s="104" t="s">
        <v>19</v>
      </c>
      <c r="E143" s="105" t="s">
        <v>19</v>
      </c>
      <c r="F143" s="104" t="s">
        <v>19</v>
      </c>
      <c r="G143" s="104" t="s">
        <v>19</v>
      </c>
      <c r="H143" s="104" t="s">
        <v>19</v>
      </c>
      <c r="I143" s="104" t="s">
        <v>19</v>
      </c>
      <c r="J143" s="104" t="s">
        <v>19</v>
      </c>
      <c r="K143" s="104" t="s">
        <v>19</v>
      </c>
      <c r="L143" s="104" t="s">
        <v>19</v>
      </c>
      <c r="M143" s="104" t="s">
        <v>19</v>
      </c>
      <c r="N143" s="104" t="s">
        <v>19</v>
      </c>
      <c r="O143" s="104" t="s">
        <v>19</v>
      </c>
      <c r="P143" s="104" t="s">
        <v>359</v>
      </c>
      <c r="Q143" s="113">
        <f>ROUND(1925986.57,2)-ROUND(Q142,2)</f>
        <v>408168.66000000015</v>
      </c>
    </row>
  </sheetData>
  <mergeCells count="9">
    <mergeCell ref="B2:D2"/>
    <mergeCell ref="B1:D1"/>
    <mergeCell ref="A4:Q4"/>
    <mergeCell ref="G1:H1"/>
    <mergeCell ref="I1:J1"/>
    <mergeCell ref="K1:L1"/>
    <mergeCell ref="G2:H2"/>
    <mergeCell ref="I2:J2"/>
    <mergeCell ref="K2:L2"/>
  </mergeCells>
  <pageMargins left="0.70866141732283472" right="0.70866141732283472" top="0.74803149606299213" bottom="0.74803149606299213" header="0.31496062992125984" footer="0.31496062992125984"/>
  <pageSetup paperSize="9" scale="34" orientation="landscape" horizontalDpi="360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52"/>
  <sheetViews>
    <sheetView view="pageBreakPreview" zoomScaleNormal="100" zoomScaleSheetLayoutView="100" workbookViewId="0"/>
  </sheetViews>
  <sheetFormatPr defaultRowHeight="14.4" x14ac:dyDescent="0.3"/>
  <cols>
    <col min="1" max="1" width="15" customWidth="1"/>
    <col min="2" max="2" width="70" customWidth="1"/>
    <col min="3" max="3" width="10" customWidth="1"/>
    <col min="4" max="4" width="20" customWidth="1"/>
  </cols>
  <sheetData>
    <row r="1" spans="1:4" x14ac:dyDescent="0.3">
      <c r="A1" s="1" t="s">
        <v>360</v>
      </c>
      <c r="B1" s="1" t="s">
        <v>17</v>
      </c>
      <c r="C1" s="1" t="s">
        <v>361</v>
      </c>
      <c r="D1" s="1" t="s">
        <v>362</v>
      </c>
    </row>
    <row r="2" spans="1:4" ht="45" customHeight="1" x14ac:dyDescent="0.3">
      <c r="A2" s="76" t="s">
        <v>18</v>
      </c>
      <c r="B2" s="76" t="s">
        <v>20</v>
      </c>
      <c r="C2" s="2" t="s">
        <v>18</v>
      </c>
      <c r="D2" s="3">
        <v>0.1666</v>
      </c>
    </row>
    <row r="3" spans="1:4" ht="45" customHeight="1" x14ac:dyDescent="0.3">
      <c r="A3" s="77"/>
      <c r="B3" s="77"/>
      <c r="C3" s="2" t="s">
        <v>26</v>
      </c>
      <c r="D3" s="4">
        <v>0.1666</v>
      </c>
    </row>
    <row r="4" spans="1:4" ht="45" customHeight="1" x14ac:dyDescent="0.3">
      <c r="A4" s="77"/>
      <c r="B4" s="77"/>
      <c r="C4" s="2" t="s">
        <v>45</v>
      </c>
      <c r="D4" s="5">
        <v>0.1666</v>
      </c>
    </row>
    <row r="5" spans="1:4" ht="45" customHeight="1" x14ac:dyDescent="0.3">
      <c r="A5" s="77"/>
      <c r="B5" s="77"/>
      <c r="C5" s="2" t="s">
        <v>51</v>
      </c>
      <c r="D5" s="6">
        <v>0.1666</v>
      </c>
    </row>
    <row r="6" spans="1:4" ht="45" customHeight="1" x14ac:dyDescent="0.3">
      <c r="A6" s="77"/>
      <c r="B6" s="77"/>
      <c r="C6" s="2" t="s">
        <v>65</v>
      </c>
      <c r="D6" s="7">
        <v>0.1666</v>
      </c>
    </row>
    <row r="7" spans="1:4" ht="45" customHeight="1" x14ac:dyDescent="0.3">
      <c r="A7" s="77"/>
      <c r="B7" s="77"/>
      <c r="C7" s="2" t="s">
        <v>84</v>
      </c>
      <c r="D7" s="8">
        <v>0.16699999999999998</v>
      </c>
    </row>
    <row r="8" spans="1:4" ht="45" customHeight="1" x14ac:dyDescent="0.3">
      <c r="A8" s="78" t="s">
        <v>26</v>
      </c>
      <c r="B8" s="78" t="s">
        <v>27</v>
      </c>
      <c r="C8" s="9" t="s">
        <v>18</v>
      </c>
      <c r="D8" s="10">
        <v>0.5</v>
      </c>
    </row>
    <row r="9" spans="1:4" ht="45" customHeight="1" x14ac:dyDescent="0.3">
      <c r="A9" s="77"/>
      <c r="B9" s="77"/>
      <c r="C9" s="9" t="s">
        <v>26</v>
      </c>
      <c r="D9" s="11">
        <v>0.5</v>
      </c>
    </row>
    <row r="10" spans="1:4" ht="45" customHeight="1" x14ac:dyDescent="0.3">
      <c r="A10" s="79" t="s">
        <v>45</v>
      </c>
      <c r="B10" s="79" t="s">
        <v>46</v>
      </c>
      <c r="C10" s="12" t="s">
        <v>26</v>
      </c>
      <c r="D10" s="13">
        <v>0.5</v>
      </c>
    </row>
    <row r="11" spans="1:4" ht="45" customHeight="1" x14ac:dyDescent="0.3">
      <c r="A11" s="77"/>
      <c r="B11" s="77"/>
      <c r="C11" s="12" t="s">
        <v>45</v>
      </c>
      <c r="D11" s="14">
        <v>0.5</v>
      </c>
    </row>
    <row r="12" spans="1:4" ht="45" customHeight="1" x14ac:dyDescent="0.3">
      <c r="A12" s="80" t="s">
        <v>51</v>
      </c>
      <c r="B12" s="80" t="s">
        <v>61</v>
      </c>
      <c r="C12" s="15" t="s">
        <v>26</v>
      </c>
      <c r="D12" s="16">
        <v>0.05</v>
      </c>
    </row>
    <row r="13" spans="1:4" ht="45" customHeight="1" x14ac:dyDescent="0.3">
      <c r="A13" s="77"/>
      <c r="B13" s="77"/>
      <c r="C13" s="15" t="s">
        <v>45</v>
      </c>
      <c r="D13" s="17">
        <v>0.15</v>
      </c>
    </row>
    <row r="14" spans="1:4" ht="45" customHeight="1" x14ac:dyDescent="0.3">
      <c r="A14" s="77"/>
      <c r="B14" s="77"/>
      <c r="C14" s="15" t="s">
        <v>51</v>
      </c>
      <c r="D14" s="18">
        <v>0.4</v>
      </c>
    </row>
    <row r="15" spans="1:4" ht="45" customHeight="1" x14ac:dyDescent="0.3">
      <c r="A15" s="77"/>
      <c r="B15" s="77"/>
      <c r="C15" s="15" t="s">
        <v>65</v>
      </c>
      <c r="D15" s="19">
        <v>0.4</v>
      </c>
    </row>
    <row r="16" spans="1:4" ht="45" customHeight="1" x14ac:dyDescent="0.3">
      <c r="A16" s="20" t="s">
        <v>65</v>
      </c>
      <c r="B16" s="20" t="s">
        <v>80</v>
      </c>
      <c r="C16" s="20" t="s">
        <v>18</v>
      </c>
      <c r="D16" s="21">
        <v>1</v>
      </c>
    </row>
    <row r="17" spans="1:4" ht="45" customHeight="1" x14ac:dyDescent="0.3">
      <c r="A17" s="81" t="s">
        <v>84</v>
      </c>
      <c r="B17" s="81" t="s">
        <v>99</v>
      </c>
      <c r="C17" s="22" t="s">
        <v>26</v>
      </c>
      <c r="D17" s="23">
        <v>0.4</v>
      </c>
    </row>
    <row r="18" spans="1:4" ht="45" customHeight="1" x14ac:dyDescent="0.3">
      <c r="A18" s="77"/>
      <c r="B18" s="77"/>
      <c r="C18" s="22" t="s">
        <v>45</v>
      </c>
      <c r="D18" s="24">
        <v>0.5</v>
      </c>
    </row>
    <row r="19" spans="1:4" ht="45" customHeight="1" x14ac:dyDescent="0.3">
      <c r="A19" s="77"/>
      <c r="B19" s="77"/>
      <c r="C19" s="22" t="s">
        <v>51</v>
      </c>
      <c r="D19" s="25">
        <v>0.1</v>
      </c>
    </row>
    <row r="20" spans="1:4" ht="45" customHeight="1" x14ac:dyDescent="0.3">
      <c r="A20" s="82" t="s">
        <v>103</v>
      </c>
      <c r="B20" s="82" t="s">
        <v>116</v>
      </c>
      <c r="C20" s="26" t="s">
        <v>26</v>
      </c>
      <c r="D20" s="27">
        <v>0.4</v>
      </c>
    </row>
    <row r="21" spans="1:4" ht="45" customHeight="1" x14ac:dyDescent="0.3">
      <c r="A21" s="77"/>
      <c r="B21" s="77"/>
      <c r="C21" s="26" t="s">
        <v>45</v>
      </c>
      <c r="D21" s="28">
        <v>0.6</v>
      </c>
    </row>
    <row r="22" spans="1:4" ht="45" customHeight="1" x14ac:dyDescent="0.3">
      <c r="A22" s="83" t="s">
        <v>120</v>
      </c>
      <c r="B22" s="83" t="s">
        <v>124</v>
      </c>
      <c r="C22" s="29" t="s">
        <v>45</v>
      </c>
      <c r="D22" s="30">
        <v>0.4</v>
      </c>
    </row>
    <row r="23" spans="1:4" ht="45" customHeight="1" x14ac:dyDescent="0.3">
      <c r="A23" s="77"/>
      <c r="B23" s="77"/>
      <c r="C23" s="29" t="s">
        <v>51</v>
      </c>
      <c r="D23" s="31">
        <v>0.4</v>
      </c>
    </row>
    <row r="24" spans="1:4" ht="45" customHeight="1" x14ac:dyDescent="0.3">
      <c r="A24" s="77"/>
      <c r="B24" s="77"/>
      <c r="C24" s="29" t="s">
        <v>65</v>
      </c>
      <c r="D24" s="32">
        <v>0.2</v>
      </c>
    </row>
    <row r="25" spans="1:4" ht="45" customHeight="1" x14ac:dyDescent="0.3">
      <c r="A25" s="33" t="s">
        <v>128</v>
      </c>
      <c r="B25" s="33" t="s">
        <v>132</v>
      </c>
      <c r="C25" s="33" t="s">
        <v>65</v>
      </c>
      <c r="D25" s="34">
        <v>1</v>
      </c>
    </row>
    <row r="26" spans="1:4" ht="45" customHeight="1" x14ac:dyDescent="0.3">
      <c r="A26" s="35" t="s">
        <v>137</v>
      </c>
      <c r="B26" s="35" t="s">
        <v>46</v>
      </c>
      <c r="C26" s="35" t="s">
        <v>45</v>
      </c>
      <c r="D26" s="36">
        <v>1</v>
      </c>
    </row>
    <row r="27" spans="1:4" ht="45" customHeight="1" x14ac:dyDescent="0.3">
      <c r="A27" s="84" t="s">
        <v>140</v>
      </c>
      <c r="B27" s="84" t="s">
        <v>61</v>
      </c>
      <c r="C27" s="37" t="s">
        <v>51</v>
      </c>
      <c r="D27" s="38">
        <v>0.5</v>
      </c>
    </row>
    <row r="28" spans="1:4" ht="45" customHeight="1" x14ac:dyDescent="0.3">
      <c r="A28" s="77"/>
      <c r="B28" s="77"/>
      <c r="C28" s="37" t="s">
        <v>65</v>
      </c>
      <c r="D28" s="39">
        <v>0.5</v>
      </c>
    </row>
    <row r="29" spans="1:4" ht="45" customHeight="1" x14ac:dyDescent="0.3">
      <c r="A29" s="40" t="s">
        <v>148</v>
      </c>
      <c r="B29" s="40" t="s">
        <v>132</v>
      </c>
      <c r="C29" s="40" t="s">
        <v>65</v>
      </c>
      <c r="D29" s="41">
        <v>1</v>
      </c>
    </row>
    <row r="30" spans="1:4" ht="45" customHeight="1" x14ac:dyDescent="0.3">
      <c r="A30" s="42" t="s">
        <v>159</v>
      </c>
      <c r="B30" s="42" t="s">
        <v>46</v>
      </c>
      <c r="C30" s="42" t="s">
        <v>26</v>
      </c>
      <c r="D30" s="43">
        <v>1</v>
      </c>
    </row>
    <row r="31" spans="1:4" ht="45" customHeight="1" x14ac:dyDescent="0.3">
      <c r="A31" s="85" t="s">
        <v>161</v>
      </c>
      <c r="B31" s="85" t="s">
        <v>61</v>
      </c>
      <c r="C31" s="44" t="s">
        <v>65</v>
      </c>
      <c r="D31" s="45">
        <v>0.4</v>
      </c>
    </row>
    <row r="32" spans="1:4" ht="45" customHeight="1" x14ac:dyDescent="0.3">
      <c r="A32" s="77"/>
      <c r="B32" s="77"/>
      <c r="C32" s="44" t="s">
        <v>84</v>
      </c>
      <c r="D32" s="46">
        <v>0.6</v>
      </c>
    </row>
    <row r="33" spans="1:4" ht="45" customHeight="1" x14ac:dyDescent="0.3">
      <c r="A33" s="86" t="s">
        <v>167</v>
      </c>
      <c r="B33" s="86" t="s">
        <v>132</v>
      </c>
      <c r="C33" s="47" t="s">
        <v>45</v>
      </c>
      <c r="D33" s="48">
        <v>0.4</v>
      </c>
    </row>
    <row r="34" spans="1:4" ht="45" customHeight="1" x14ac:dyDescent="0.3">
      <c r="A34" s="77"/>
      <c r="B34" s="77"/>
      <c r="C34" s="47" t="s">
        <v>51</v>
      </c>
      <c r="D34" s="49">
        <v>0.4</v>
      </c>
    </row>
    <row r="35" spans="1:4" ht="45" customHeight="1" x14ac:dyDescent="0.3">
      <c r="A35" s="77"/>
      <c r="B35" s="77"/>
      <c r="C35" s="47" t="s">
        <v>65</v>
      </c>
      <c r="D35" s="50">
        <v>0.2</v>
      </c>
    </row>
    <row r="36" spans="1:4" ht="45" customHeight="1" x14ac:dyDescent="0.3">
      <c r="A36" s="51" t="s">
        <v>178</v>
      </c>
      <c r="B36" s="51" t="s">
        <v>61</v>
      </c>
      <c r="C36" s="51" t="s">
        <v>45</v>
      </c>
      <c r="D36" s="52">
        <v>1</v>
      </c>
    </row>
    <row r="37" spans="1:4" ht="45" customHeight="1" x14ac:dyDescent="0.3">
      <c r="A37" s="87" t="s">
        <v>192</v>
      </c>
      <c r="B37" s="87" t="s">
        <v>124</v>
      </c>
      <c r="C37" s="53" t="s">
        <v>51</v>
      </c>
      <c r="D37" s="54">
        <v>0.3</v>
      </c>
    </row>
    <row r="38" spans="1:4" ht="45" customHeight="1" x14ac:dyDescent="0.3">
      <c r="A38" s="77"/>
      <c r="B38" s="77"/>
      <c r="C38" s="53" t="s">
        <v>65</v>
      </c>
      <c r="D38" s="55">
        <v>0.7</v>
      </c>
    </row>
    <row r="39" spans="1:4" ht="45" customHeight="1" x14ac:dyDescent="0.3">
      <c r="A39" s="88" t="s">
        <v>197</v>
      </c>
      <c r="B39" s="88" t="s">
        <v>61</v>
      </c>
      <c r="C39" s="56" t="s">
        <v>45</v>
      </c>
      <c r="D39" s="57">
        <v>0.2</v>
      </c>
    </row>
    <row r="40" spans="1:4" ht="45" customHeight="1" x14ac:dyDescent="0.3">
      <c r="A40" s="77"/>
      <c r="B40" s="77"/>
      <c r="C40" s="56" t="s">
        <v>51</v>
      </c>
      <c r="D40" s="58">
        <v>0.8</v>
      </c>
    </row>
    <row r="41" spans="1:4" ht="45" customHeight="1" x14ac:dyDescent="0.3">
      <c r="A41" s="89" t="s">
        <v>202</v>
      </c>
      <c r="B41" s="89" t="s">
        <v>213</v>
      </c>
      <c r="C41" s="59" t="s">
        <v>45</v>
      </c>
      <c r="D41" s="60">
        <v>0.4</v>
      </c>
    </row>
    <row r="42" spans="1:4" ht="45" customHeight="1" x14ac:dyDescent="0.3">
      <c r="A42" s="77"/>
      <c r="B42" s="77"/>
      <c r="C42" s="59" t="s">
        <v>65</v>
      </c>
      <c r="D42" s="61">
        <v>0.4</v>
      </c>
    </row>
    <row r="43" spans="1:4" ht="45" customHeight="1" x14ac:dyDescent="0.3">
      <c r="A43" s="77"/>
      <c r="B43" s="77"/>
      <c r="C43" s="59" t="s">
        <v>84</v>
      </c>
      <c r="D43" s="62">
        <v>0.2</v>
      </c>
    </row>
    <row r="44" spans="1:4" ht="45" customHeight="1" x14ac:dyDescent="0.3">
      <c r="A44" s="90" t="s">
        <v>215</v>
      </c>
      <c r="B44" s="90" t="s">
        <v>220</v>
      </c>
      <c r="C44" s="63" t="s">
        <v>45</v>
      </c>
      <c r="D44" s="64">
        <v>0.3</v>
      </c>
    </row>
    <row r="45" spans="1:4" ht="45" customHeight="1" x14ac:dyDescent="0.3">
      <c r="A45" s="77"/>
      <c r="B45" s="77"/>
      <c r="C45" s="63" t="s">
        <v>51</v>
      </c>
      <c r="D45" s="65">
        <v>0.7</v>
      </c>
    </row>
    <row r="46" spans="1:4" ht="45" customHeight="1" x14ac:dyDescent="0.3">
      <c r="A46" s="91" t="s">
        <v>224</v>
      </c>
      <c r="B46" s="91" t="s">
        <v>241</v>
      </c>
      <c r="C46" s="66" t="s">
        <v>26</v>
      </c>
      <c r="D46" s="67">
        <v>0.3</v>
      </c>
    </row>
    <row r="47" spans="1:4" ht="45" customHeight="1" x14ac:dyDescent="0.3">
      <c r="A47" s="77"/>
      <c r="B47" s="77"/>
      <c r="C47" s="66" t="s">
        <v>45</v>
      </c>
      <c r="D47" s="68">
        <v>0.3</v>
      </c>
    </row>
    <row r="48" spans="1:4" ht="45" customHeight="1" x14ac:dyDescent="0.3">
      <c r="A48" s="77"/>
      <c r="B48" s="77"/>
      <c r="C48" s="66" t="s">
        <v>65</v>
      </c>
      <c r="D48" s="69">
        <v>0.3</v>
      </c>
    </row>
    <row r="49" spans="1:4" ht="45" customHeight="1" x14ac:dyDescent="0.3">
      <c r="A49" s="77"/>
      <c r="B49" s="77"/>
      <c r="C49" s="66" t="s">
        <v>84</v>
      </c>
      <c r="D49" s="70">
        <v>0.1</v>
      </c>
    </row>
    <row r="50" spans="1:4" ht="45" customHeight="1" x14ac:dyDescent="0.3">
      <c r="A50" s="71" t="s">
        <v>245</v>
      </c>
      <c r="B50" s="71" t="s">
        <v>318</v>
      </c>
      <c r="C50" s="71" t="s">
        <v>26</v>
      </c>
      <c r="D50" s="72">
        <v>1</v>
      </c>
    </row>
    <row r="51" spans="1:4" ht="45" customHeight="1" x14ac:dyDescent="0.3">
      <c r="A51" s="92" t="s">
        <v>322</v>
      </c>
      <c r="B51" s="92" t="s">
        <v>344</v>
      </c>
      <c r="C51" s="73" t="s">
        <v>45</v>
      </c>
      <c r="D51" s="74">
        <v>0.5</v>
      </c>
    </row>
    <row r="52" spans="1:4" ht="45" customHeight="1" x14ac:dyDescent="0.3">
      <c r="A52" s="77"/>
      <c r="B52" s="77"/>
      <c r="C52" s="73" t="s">
        <v>51</v>
      </c>
      <c r="D52" s="75">
        <v>0.5</v>
      </c>
    </row>
  </sheetData>
  <mergeCells count="32">
    <mergeCell ref="A51:A52"/>
    <mergeCell ref="B51:B52"/>
    <mergeCell ref="A41:A43"/>
    <mergeCell ref="B41:B43"/>
    <mergeCell ref="A44:A45"/>
    <mergeCell ref="B44:B45"/>
    <mergeCell ref="A46:A49"/>
    <mergeCell ref="B46:B49"/>
    <mergeCell ref="A33:A35"/>
    <mergeCell ref="B33:B35"/>
    <mergeCell ref="A37:A38"/>
    <mergeCell ref="B37:B38"/>
    <mergeCell ref="A39:A40"/>
    <mergeCell ref="B39:B40"/>
    <mergeCell ref="A22:A24"/>
    <mergeCell ref="B22:B24"/>
    <mergeCell ref="A27:A28"/>
    <mergeCell ref="B27:B28"/>
    <mergeCell ref="A31:A32"/>
    <mergeCell ref="B31:B32"/>
    <mergeCell ref="A12:A15"/>
    <mergeCell ref="B12:B15"/>
    <mergeCell ref="A17:A19"/>
    <mergeCell ref="B17:B19"/>
    <mergeCell ref="A20:A21"/>
    <mergeCell ref="B20:B21"/>
    <mergeCell ref="A2:A7"/>
    <mergeCell ref="B2:B7"/>
    <mergeCell ref="A8:A9"/>
    <mergeCell ref="B8:B9"/>
    <mergeCell ref="A10:A11"/>
    <mergeCell ref="B10:B11"/>
  </mergeCells>
  <pageMargins left="0.7" right="0.7" top="0.75" bottom="0.75" header="0.3" footer="0.3"/>
  <pageSetup paperSize="9" scale="76" orientation="portrait" horizontalDpi="360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DD8F5D-0F2C-47ED-A2DD-89C7201CEB13}">
  <dimension ref="A1:AE79"/>
  <sheetViews>
    <sheetView view="pageBreakPreview" topLeftCell="I1" zoomScaleNormal="100" zoomScaleSheetLayoutView="100" workbookViewId="0">
      <selection activeCell="I2" sqref="I2:O3"/>
    </sheetView>
  </sheetViews>
  <sheetFormatPr defaultColWidth="0" defaultRowHeight="13.2" customHeight="1" zeroHeight="1" x14ac:dyDescent="0.25"/>
  <cols>
    <col min="1" max="1" width="30.33203125" style="114" hidden="1"/>
    <col min="2" max="3" width="9.109375" style="114" hidden="1"/>
    <col min="4" max="4" width="23.5546875" style="114" hidden="1"/>
    <col min="5" max="8" width="9.109375" style="114" hidden="1"/>
    <col min="9" max="9" width="13.6640625" style="114" customWidth="1"/>
    <col min="10" max="14" width="10.6640625" style="114" customWidth="1"/>
    <col min="15" max="15" width="12.88671875" style="114" customWidth="1"/>
    <col min="16" max="18" width="10.6640625" style="114" customWidth="1"/>
    <col min="19" max="19" width="3.6640625" style="114" customWidth="1"/>
    <col min="20" max="20" width="29.5546875" style="114" customWidth="1"/>
    <col min="21" max="21" width="13.6640625" style="114" customWidth="1"/>
    <col min="22" max="16384" width="9.109375" style="114" hidden="1"/>
  </cols>
  <sheetData>
    <row r="1" spans="1:29" ht="13.2" customHeight="1" x14ac:dyDescent="0.25">
      <c r="I1" s="115" t="s">
        <v>9</v>
      </c>
      <c r="J1" s="115"/>
      <c r="K1" s="115"/>
      <c r="L1" s="115"/>
      <c r="M1" s="115"/>
      <c r="N1" s="115"/>
      <c r="O1" s="115"/>
      <c r="P1" s="115"/>
      <c r="Q1" s="115"/>
      <c r="R1" s="115"/>
    </row>
    <row r="2" spans="1:29" ht="13.2" customHeight="1" x14ac:dyDescent="0.25">
      <c r="I2" s="185" t="s">
        <v>414</v>
      </c>
      <c r="J2" s="116"/>
      <c r="K2" s="116"/>
      <c r="L2" s="116"/>
      <c r="M2" s="116"/>
      <c r="N2" s="116"/>
      <c r="O2" s="116"/>
      <c r="P2" s="117" t="s">
        <v>370</v>
      </c>
      <c r="Q2" s="118"/>
      <c r="R2" s="118"/>
    </row>
    <row r="3" spans="1:29" ht="50.4" customHeight="1" x14ac:dyDescent="0.25">
      <c r="I3" s="116"/>
      <c r="J3" s="116"/>
      <c r="K3" s="116"/>
      <c r="L3" s="116"/>
      <c r="M3" s="116"/>
      <c r="N3" s="116"/>
      <c r="O3" s="116"/>
      <c r="P3" s="119" t="s">
        <v>371</v>
      </c>
      <c r="Q3" s="120"/>
      <c r="R3" s="120"/>
    </row>
    <row r="4" spans="1:29" x14ac:dyDescent="0.25">
      <c r="A4" s="114" t="s">
        <v>372</v>
      </c>
      <c r="B4" s="121" t="s">
        <v>373</v>
      </c>
      <c r="C4" s="114" t="str">
        <f t="shared" ref="C4:C28" si="0">CONCATENATE(A4,"-",B4)</f>
        <v>Construção de Praças Urbanas, Rodovias, Ferrovias e recapeamento e pavimentação de vias urbanas-R</v>
      </c>
      <c r="E4" s="122">
        <v>5.0000000000000001E-3</v>
      </c>
      <c r="F4" s="122">
        <v>5.6000000000000008E-3</v>
      </c>
      <c r="G4" s="122">
        <v>9.7000000000000003E-3</v>
      </c>
      <c r="I4" s="123" t="s">
        <v>374</v>
      </c>
      <c r="J4" s="123"/>
      <c r="K4" s="123"/>
      <c r="L4" s="123"/>
      <c r="M4" s="123"/>
      <c r="N4" s="123"/>
      <c r="O4" s="123"/>
      <c r="P4" s="123"/>
      <c r="Q4" s="123" t="s">
        <v>375</v>
      </c>
      <c r="R4" s="123"/>
    </row>
    <row r="5" spans="1:29" x14ac:dyDescent="0.25">
      <c r="A5" s="114" t="s">
        <v>372</v>
      </c>
      <c r="B5" s="121" t="s">
        <v>376</v>
      </c>
      <c r="C5" s="114" t="str">
        <f t="shared" si="0"/>
        <v>Construção de Praças Urbanas, Rodovias, Ferrovias e recapeamento e pavimentação de vias urbanas-DF</v>
      </c>
      <c r="E5" s="122">
        <v>1.0200000000000001E-2</v>
      </c>
      <c r="F5" s="122">
        <v>1.11E-2</v>
      </c>
      <c r="G5" s="122">
        <v>1.21E-2</v>
      </c>
      <c r="I5" s="124" t="s">
        <v>377</v>
      </c>
      <c r="J5" s="124"/>
      <c r="K5" s="124"/>
      <c r="L5" s="124"/>
      <c r="M5" s="124"/>
      <c r="N5" s="124"/>
      <c r="O5" s="124"/>
      <c r="P5" s="124"/>
      <c r="Q5" s="125" t="str">
        <f>[1]DADOS!$C$38</f>
        <v>Sim</v>
      </c>
      <c r="R5" s="125"/>
    </row>
    <row r="6" spans="1:29" x14ac:dyDescent="0.25">
      <c r="A6" s="114" t="s">
        <v>372</v>
      </c>
      <c r="B6" s="121" t="s">
        <v>378</v>
      </c>
      <c r="C6" s="114" t="str">
        <f t="shared" si="0"/>
        <v>Construção de Praças Urbanas, Rodovias, Ferrovias e recapeamento e pavimentação de vias urbanas-L</v>
      </c>
      <c r="E6" s="122">
        <v>6.6400000000000001E-2</v>
      </c>
      <c r="F6" s="122">
        <v>7.2999999999999995E-2</v>
      </c>
      <c r="G6" s="122">
        <v>8.6899999999999991E-2</v>
      </c>
      <c r="I6" s="126"/>
      <c r="J6" s="127"/>
      <c r="K6" s="127"/>
      <c r="L6" s="127"/>
      <c r="M6" s="127"/>
      <c r="N6" s="127"/>
      <c r="O6" s="127"/>
      <c r="P6" s="127"/>
      <c r="Q6" s="127"/>
      <c r="R6" s="128"/>
    </row>
    <row r="7" spans="1:29" ht="15" customHeight="1" x14ac:dyDescent="0.25">
      <c r="A7" s="114" t="s">
        <v>372</v>
      </c>
      <c r="B7" s="129" t="s">
        <v>379</v>
      </c>
      <c r="C7" s="114" t="str">
        <f t="shared" si="0"/>
        <v>Construção de Praças Urbanas, Rodovias, Ferrovias e recapeamento e pavimentação de vias urbanas-BDI PAD</v>
      </c>
      <c r="E7" s="122">
        <v>0.19600000000000001</v>
      </c>
      <c r="F7" s="122">
        <v>0.2097</v>
      </c>
      <c r="G7" s="122">
        <v>0.24230000000000002</v>
      </c>
      <c r="I7" s="130" t="s">
        <v>380</v>
      </c>
      <c r="J7" s="130"/>
      <c r="K7" s="130"/>
      <c r="L7" s="130"/>
      <c r="M7" s="130"/>
      <c r="N7" s="130"/>
      <c r="O7" s="130"/>
      <c r="P7" s="130"/>
      <c r="Q7" s="131">
        <v>1</v>
      </c>
      <c r="R7" s="131"/>
    </row>
    <row r="8" spans="1:29" ht="15" customHeight="1" x14ac:dyDescent="0.25">
      <c r="A8" s="114" t="s">
        <v>381</v>
      </c>
      <c r="B8" s="121" t="s">
        <v>382</v>
      </c>
      <c r="C8" s="114" t="str">
        <f t="shared" si="0"/>
        <v>Construção de Redes de Abastecimento de Água, Coleta de Esgoto-AC</v>
      </c>
      <c r="E8" s="122">
        <v>3.4300000000000004E-2</v>
      </c>
      <c r="F8" s="122">
        <v>4.9299999999999997E-2</v>
      </c>
      <c r="G8" s="122">
        <v>6.7099999999999993E-2</v>
      </c>
      <c r="I8" s="132" t="s">
        <v>383</v>
      </c>
      <c r="J8" s="132"/>
      <c r="K8" s="132"/>
      <c r="L8" s="132"/>
      <c r="M8" s="132"/>
      <c r="N8" s="132"/>
      <c r="O8" s="132"/>
      <c r="P8" s="132"/>
      <c r="Q8" s="131">
        <v>0.05</v>
      </c>
      <c r="R8" s="131"/>
    </row>
    <row r="9" spans="1:29" x14ac:dyDescent="0.25">
      <c r="A9" s="114" t="str">
        <f>A8</f>
        <v>Construção de Redes de Abastecimento de Água, Coleta de Esgoto</v>
      </c>
      <c r="B9" s="121" t="s">
        <v>384</v>
      </c>
      <c r="C9" s="114" t="str">
        <f t="shared" si="0"/>
        <v>Construção de Redes de Abastecimento de Água, Coleta de Esgoto-SG</v>
      </c>
      <c r="E9" s="122">
        <v>2.8000000000000004E-3</v>
      </c>
      <c r="F9" s="122">
        <v>4.8999999999999998E-3</v>
      </c>
      <c r="G9" s="122">
        <v>7.4999999999999997E-3</v>
      </c>
      <c r="I9" s="126"/>
      <c r="J9" s="127"/>
      <c r="K9" s="127"/>
      <c r="L9" s="127"/>
      <c r="M9" s="127"/>
      <c r="N9" s="127"/>
      <c r="O9" s="127"/>
      <c r="P9" s="127"/>
      <c r="Q9" s="127"/>
      <c r="R9" s="128"/>
    </row>
    <row r="10" spans="1:29" ht="12.75" customHeight="1" x14ac:dyDescent="0.25">
      <c r="B10" s="121"/>
      <c r="E10" s="122"/>
      <c r="F10" s="122"/>
      <c r="G10" s="122"/>
      <c r="I10" s="133" t="s">
        <v>385</v>
      </c>
      <c r="J10" s="133"/>
      <c r="K10" s="133"/>
      <c r="L10" s="133"/>
      <c r="M10" s="133" t="s">
        <v>386</v>
      </c>
      <c r="N10" s="134" t="s">
        <v>387</v>
      </c>
      <c r="O10" s="134" t="s">
        <v>388</v>
      </c>
      <c r="P10" s="133" t="s">
        <v>389</v>
      </c>
      <c r="Q10" s="133" t="s">
        <v>390</v>
      </c>
      <c r="R10" s="135" t="s">
        <v>391</v>
      </c>
      <c r="T10" s="136" t="str">
        <f>IF(V21,"Para BDI fora do intervalo estatístico, deve ser apresentado Relatório Técnico Circunstanciado justificando a adoção do percentual de cada parcela do BDI.","")</f>
        <v/>
      </c>
      <c r="U10" s="136"/>
      <c r="V10" s="137"/>
      <c r="W10" s="137"/>
      <c r="X10" s="137"/>
      <c r="Y10" s="137"/>
      <c r="Z10" s="137"/>
      <c r="AA10" s="137"/>
      <c r="AB10" s="137"/>
      <c r="AC10" s="137"/>
    </row>
    <row r="11" spans="1:29" ht="15.75" customHeight="1" x14ac:dyDescent="0.25">
      <c r="A11" s="114" t="str">
        <f>A9</f>
        <v>Construção de Redes de Abastecimento de Água, Coleta de Esgoto</v>
      </c>
      <c r="B11" s="121" t="s">
        <v>373</v>
      </c>
      <c r="C11" s="114" t="str">
        <f t="shared" si="0"/>
        <v>Construção de Redes de Abastecimento de Água, Coleta de Esgoto-R</v>
      </c>
      <c r="E11" s="122">
        <v>0.01</v>
      </c>
      <c r="F11" s="122">
        <v>1.3899999999999999E-2</v>
      </c>
      <c r="G11" s="122">
        <v>1.7399999999999999E-2</v>
      </c>
      <c r="I11" s="133"/>
      <c r="J11" s="133"/>
      <c r="K11" s="133"/>
      <c r="L11" s="133"/>
      <c r="M11" s="133"/>
      <c r="N11" s="134"/>
      <c r="O11" s="134"/>
      <c r="P11" s="133"/>
      <c r="Q11" s="133"/>
      <c r="R11" s="135"/>
      <c r="T11" s="136"/>
      <c r="U11" s="136"/>
      <c r="V11" s="137"/>
      <c r="W11" s="137"/>
      <c r="X11" s="137"/>
      <c r="Y11" s="137"/>
      <c r="Z11" s="137"/>
      <c r="AA11" s="137"/>
      <c r="AB11" s="137"/>
      <c r="AC11" s="137"/>
    </row>
    <row r="12" spans="1:29" ht="26.25" customHeight="1" x14ac:dyDescent="0.25">
      <c r="A12" s="114" t="str">
        <f>A11</f>
        <v>Construção de Redes de Abastecimento de Água, Coleta de Esgoto</v>
      </c>
      <c r="B12" s="121" t="s">
        <v>376</v>
      </c>
      <c r="C12" s="114" t="str">
        <f t="shared" si="0"/>
        <v>Construção de Redes de Abastecimento de Água, Coleta de Esgoto-DF</v>
      </c>
      <c r="E12" s="122">
        <v>9.3999999999999986E-3</v>
      </c>
      <c r="F12" s="122">
        <v>9.8999999999999991E-3</v>
      </c>
      <c r="G12" s="122">
        <v>1.1699999999999999E-2</v>
      </c>
      <c r="I12" s="138" t="str">
        <f>IF($I$5=$A$39,"Encargos Sociais incidentes sobre a mão de obra","Administração Central")</f>
        <v>Administração Central</v>
      </c>
      <c r="J12" s="138"/>
      <c r="K12" s="138"/>
      <c r="L12" s="138"/>
      <c r="M12" s="139" t="str">
        <f>IF($I$5=$A$39,"K1","AC")</f>
        <v>AC</v>
      </c>
      <c r="N12" s="140">
        <v>0.03</v>
      </c>
      <c r="O12" s="141" t="s">
        <v>392</v>
      </c>
      <c r="P12" s="142">
        <v>0.03</v>
      </c>
      <c r="Q12" s="142">
        <v>0.04</v>
      </c>
      <c r="R12" s="142">
        <v>5.5E-2</v>
      </c>
      <c r="T12" s="136"/>
      <c r="U12" s="136"/>
      <c r="V12" s="137"/>
      <c r="W12" s="137"/>
      <c r="X12" s="137"/>
      <c r="Y12" s="137"/>
      <c r="Z12" s="137"/>
      <c r="AA12" s="137"/>
      <c r="AB12" s="137"/>
      <c r="AC12" s="137"/>
    </row>
    <row r="13" spans="1:29" ht="26.25" customHeight="1" x14ac:dyDescent="0.25">
      <c r="A13" s="114" t="str">
        <f>A12</f>
        <v>Construção de Redes de Abastecimento de Água, Coleta de Esgoto</v>
      </c>
      <c r="B13" s="121" t="s">
        <v>378</v>
      </c>
      <c r="C13" s="114" t="str">
        <f t="shared" si="0"/>
        <v>Construção de Redes de Abastecimento de Água, Coleta de Esgoto-L</v>
      </c>
      <c r="E13" s="122">
        <v>6.7400000000000002E-2</v>
      </c>
      <c r="F13" s="122">
        <v>8.0399999999999985E-2</v>
      </c>
      <c r="G13" s="122">
        <v>9.4E-2</v>
      </c>
      <c r="I13" s="138" t="str">
        <f>IF($I$5=$A$39,"Administração Central da empresa ou consultoria - overhead","Seguro e Garantia")</f>
        <v>Seguro e Garantia</v>
      </c>
      <c r="J13" s="138"/>
      <c r="K13" s="138"/>
      <c r="L13" s="138"/>
      <c r="M13" s="139" t="str">
        <f>IF($I$5=$A$39,"K2","SG")</f>
        <v>SG</v>
      </c>
      <c r="N13" s="140">
        <v>8.0000000000000002E-3</v>
      </c>
      <c r="O13" s="141" t="s">
        <v>392</v>
      </c>
      <c r="P13" s="142">
        <v>8.0000000000000002E-3</v>
      </c>
      <c r="Q13" s="142">
        <v>8.0000000000000002E-3</v>
      </c>
      <c r="R13" s="142">
        <v>0.01</v>
      </c>
      <c r="T13" s="136"/>
      <c r="U13" s="136"/>
      <c r="V13" s="137"/>
      <c r="W13" s="137"/>
      <c r="X13" s="137"/>
      <c r="Y13" s="137"/>
      <c r="Z13" s="137"/>
      <c r="AA13" s="137"/>
      <c r="AB13" s="137"/>
      <c r="AC13" s="137"/>
    </row>
    <row r="14" spans="1:29" ht="26.25" customHeight="1" x14ac:dyDescent="0.25">
      <c r="A14" s="114" t="str">
        <f>A13</f>
        <v>Construção de Redes de Abastecimento de Água, Coleta de Esgoto</v>
      </c>
      <c r="B14" s="129" t="s">
        <v>379</v>
      </c>
      <c r="C14" s="114" t="str">
        <f t="shared" si="0"/>
        <v>Construção de Redes de Abastecimento de Água, Coleta de Esgoto-BDI PAD</v>
      </c>
      <c r="E14" s="122">
        <v>0.20760000000000001</v>
      </c>
      <c r="F14" s="122">
        <v>0.24179999999999999</v>
      </c>
      <c r="G14" s="122">
        <v>0.26440000000000002</v>
      </c>
      <c r="I14" s="138" t="str">
        <f>IF($I$5=$A$39,"","Risco")</f>
        <v>Risco</v>
      </c>
      <c r="J14" s="138"/>
      <c r="K14" s="138"/>
      <c r="L14" s="138"/>
      <c r="M14" s="139" t="str">
        <f>IF($I$5=$A$39,"","R")</f>
        <v>R</v>
      </c>
      <c r="N14" s="140">
        <f t="shared" ref="N14:N17" si="1">P14</f>
        <v>9.7000000000000003E-3</v>
      </c>
      <c r="O14" s="141" t="s">
        <v>392</v>
      </c>
      <c r="P14" s="142">
        <v>9.7000000000000003E-3</v>
      </c>
      <c r="Q14" s="142">
        <v>1.2699999999999999E-2</v>
      </c>
      <c r="R14" s="142">
        <v>1.2699999999999999E-2</v>
      </c>
      <c r="T14" s="136"/>
      <c r="U14" s="136"/>
      <c r="V14" s="137"/>
      <c r="W14" s="137"/>
      <c r="X14" s="137"/>
      <c r="Y14" s="137"/>
      <c r="Z14" s="137"/>
      <c r="AA14" s="137"/>
      <c r="AB14" s="137"/>
      <c r="AC14" s="137"/>
    </row>
    <row r="15" spans="1:29" ht="26.25" customHeight="1" x14ac:dyDescent="0.25">
      <c r="A15" s="114" t="s">
        <v>393</v>
      </c>
      <c r="B15" s="121" t="s">
        <v>382</v>
      </c>
      <c r="C15" s="114" t="str">
        <f t="shared" si="0"/>
        <v>Construção e Manutenção de Estações e Redes de Distribuição de Energia Elétrica-AC</v>
      </c>
      <c r="E15" s="122">
        <v>5.2900000000000003E-2</v>
      </c>
      <c r="F15" s="122">
        <v>5.9200000000000003E-2</v>
      </c>
      <c r="G15" s="122">
        <v>7.9299999999999995E-2</v>
      </c>
      <c r="I15" s="138" t="str">
        <f>IF($I$5=$A$39,"","Despesas Financeiras")</f>
        <v>Despesas Financeiras</v>
      </c>
      <c r="J15" s="138"/>
      <c r="K15" s="138"/>
      <c r="L15" s="138"/>
      <c r="M15" s="139" t="str">
        <f>IF($I$5=$A$39,"","DF")</f>
        <v>DF</v>
      </c>
      <c r="N15" s="140">
        <f t="shared" si="1"/>
        <v>5.8999999999999999E-3</v>
      </c>
      <c r="O15" s="141" t="s">
        <v>392</v>
      </c>
      <c r="P15" s="142">
        <v>5.8999999999999999E-3</v>
      </c>
      <c r="Q15" s="142">
        <v>1.23E-2</v>
      </c>
      <c r="R15" s="142">
        <v>1.3899999999999999E-2</v>
      </c>
      <c r="T15" s="136"/>
      <c r="U15" s="136"/>
    </row>
    <row r="16" spans="1:29" ht="26.25" customHeight="1" x14ac:dyDescent="0.25">
      <c r="A16" s="114" t="str">
        <f>A15</f>
        <v>Construção e Manutenção de Estações e Redes de Distribuição de Energia Elétrica</v>
      </c>
      <c r="B16" s="121" t="s">
        <v>384</v>
      </c>
      <c r="C16" s="114" t="str">
        <f t="shared" si="0"/>
        <v>Construção e Manutenção de Estações e Redes de Distribuição de Energia Elétrica-SG</v>
      </c>
      <c r="E16" s="122">
        <v>2.5000000000000001E-3</v>
      </c>
      <c r="F16" s="122">
        <v>5.1000000000000004E-3</v>
      </c>
      <c r="G16" s="122">
        <v>5.6000000000000008E-3</v>
      </c>
      <c r="I16" s="138" t="str">
        <f>IF($I$5=$A$39,"Margem bruta da empresa de consultoria","Lucro")</f>
        <v>Lucro</v>
      </c>
      <c r="J16" s="138"/>
      <c r="K16" s="138"/>
      <c r="L16" s="138"/>
      <c r="M16" s="139" t="str">
        <f>IF($I$5=$A$39,"K3","L")</f>
        <v>L</v>
      </c>
      <c r="N16" s="140">
        <v>6.1899999999999997E-2</v>
      </c>
      <c r="O16" s="141" t="s">
        <v>392</v>
      </c>
      <c r="P16" s="142">
        <v>6.1600000000000002E-2</v>
      </c>
      <c r="Q16" s="142">
        <v>7.3999999999999996E-2</v>
      </c>
      <c r="R16" s="142">
        <v>8.9599999999999999E-2</v>
      </c>
      <c r="T16" s="136"/>
      <c r="U16" s="136"/>
    </row>
    <row r="17" spans="1:31" ht="26.25" customHeight="1" x14ac:dyDescent="0.25">
      <c r="A17" s="114" t="str">
        <f>A16</f>
        <v>Construção e Manutenção de Estações e Redes de Distribuição de Energia Elétrica</v>
      </c>
      <c r="B17" s="121" t="s">
        <v>373</v>
      </c>
      <c r="C17" s="114" t="str">
        <f t="shared" si="0"/>
        <v>Construção e Manutenção de Estações e Redes de Distribuição de Energia Elétrica-R</v>
      </c>
      <c r="E17" s="122">
        <v>0.01</v>
      </c>
      <c r="F17" s="122">
        <v>1.4800000000000001E-2</v>
      </c>
      <c r="G17" s="122">
        <v>1.9699999999999999E-2</v>
      </c>
      <c r="I17" s="143" t="s">
        <v>394</v>
      </c>
      <c r="J17" s="143"/>
      <c r="K17" s="143"/>
      <c r="L17" s="143"/>
      <c r="M17" s="139" t="s">
        <v>395</v>
      </c>
      <c r="N17" s="140">
        <f t="shared" si="1"/>
        <v>3.6499999999999998E-2</v>
      </c>
      <c r="O17" s="141" t="s">
        <v>392</v>
      </c>
      <c r="P17" s="142">
        <v>3.6499999999999998E-2</v>
      </c>
      <c r="Q17" s="142">
        <v>3.6499999999999998E-2</v>
      </c>
      <c r="R17" s="142">
        <v>3.6499999999999998E-2</v>
      </c>
      <c r="T17" s="136"/>
      <c r="U17" s="136"/>
    </row>
    <row r="18" spans="1:31" ht="26.25" customHeight="1" x14ac:dyDescent="0.25">
      <c r="A18" s="114" t="str">
        <f>A17</f>
        <v>Construção e Manutenção de Estações e Redes de Distribuição de Energia Elétrica</v>
      </c>
      <c r="B18" s="121" t="s">
        <v>376</v>
      </c>
      <c r="C18" s="114" t="str">
        <f t="shared" si="0"/>
        <v>Construção e Manutenção de Estações e Redes de Distribuição de Energia Elétrica-DF</v>
      </c>
      <c r="E18" s="122">
        <v>1.01E-2</v>
      </c>
      <c r="F18" s="122">
        <v>1.0700000000000001E-2</v>
      </c>
      <c r="G18" s="122">
        <v>1.11E-2</v>
      </c>
      <c r="I18" s="138" t="s">
        <v>396</v>
      </c>
      <c r="J18" s="138"/>
      <c r="K18" s="138"/>
      <c r="L18" s="138"/>
      <c r="M18" s="139" t="s">
        <v>397</v>
      </c>
      <c r="N18" s="142">
        <f>IF($I$5&lt;&gt;$A$38,Q8*Q7,0)</f>
        <v>0.05</v>
      </c>
      <c r="O18" s="141" t="s">
        <v>392</v>
      </c>
      <c r="P18" s="142">
        <v>0</v>
      </c>
      <c r="Q18" s="142">
        <v>2.5000000000000001E-2</v>
      </c>
      <c r="R18" s="142">
        <v>0.05</v>
      </c>
      <c r="T18" s="136"/>
      <c r="U18" s="136"/>
    </row>
    <row r="19" spans="1:31" ht="26.25" customHeight="1" x14ac:dyDescent="0.25">
      <c r="A19" s="114" t="str">
        <f>A18</f>
        <v>Construção e Manutenção de Estações e Redes de Distribuição de Energia Elétrica</v>
      </c>
      <c r="B19" s="121" t="s">
        <v>378</v>
      </c>
      <c r="C19" s="114" t="str">
        <f t="shared" si="0"/>
        <v>Construção e Manutenção de Estações e Redes de Distribuição de Energia Elétrica-L</v>
      </c>
      <c r="E19" s="122">
        <v>0.08</v>
      </c>
      <c r="F19" s="122">
        <v>8.3100000000000007E-2</v>
      </c>
      <c r="G19" s="122">
        <v>9.5100000000000004E-2</v>
      </c>
      <c r="I19" s="138" t="s">
        <v>398</v>
      </c>
      <c r="J19" s="138"/>
      <c r="K19" s="138"/>
      <c r="L19" s="138"/>
      <c r="M19" s="139" t="s">
        <v>399</v>
      </c>
      <c r="N19" s="142">
        <v>3.5999999999999997E-2</v>
      </c>
      <c r="O19" s="141" t="str">
        <f>IF(AND(N19&gt;=P19, N19&lt;=R19), "OK", "Não OK")</f>
        <v>OK</v>
      </c>
      <c r="P19" s="144">
        <v>3.5999999999999997E-2</v>
      </c>
      <c r="Q19" s="144">
        <v>4.4999999999999998E-2</v>
      </c>
      <c r="R19" s="144">
        <v>4.4999999999999998E-2</v>
      </c>
    </row>
    <row r="20" spans="1:31" ht="30.75" customHeight="1" x14ac:dyDescent="0.3">
      <c r="A20" s="114" t="str">
        <f>A19</f>
        <v>Construção e Manutenção de Estações e Redes de Distribuição de Energia Elétrica</v>
      </c>
      <c r="B20" s="129" t="s">
        <v>379</v>
      </c>
      <c r="C20" s="114" t="str">
        <f t="shared" si="0"/>
        <v>Construção e Manutenção de Estações e Redes de Distribuição de Energia Elétrica-BDI PAD</v>
      </c>
      <c r="E20" s="122">
        <v>0.24</v>
      </c>
      <c r="F20" s="122">
        <v>0.25840000000000002</v>
      </c>
      <c r="G20" s="122">
        <v>0.27860000000000001</v>
      </c>
      <c r="I20" s="138" t="s">
        <v>400</v>
      </c>
      <c r="J20" s="138"/>
      <c r="K20" s="138"/>
      <c r="L20" s="138"/>
      <c r="M20" s="145" t="s">
        <v>379</v>
      </c>
      <c r="N20" s="142">
        <f>IF($I$5=$A$38,0,ROUND((((1+N12+N13+N14)*(1+N15)*(1+N16)/(1-(N17+N18)))-1),4))</f>
        <v>0.22509999999999999</v>
      </c>
      <c r="O20" s="141" t="str">
        <f t="shared" ref="O20" si="2">IF(AND(N20&gt;=P20, N20&lt;=R20), "OK", "Não OK")</f>
        <v>OK</v>
      </c>
      <c r="P20" s="142">
        <v>0.2034</v>
      </c>
      <c r="Q20" s="142">
        <v>0.22120000000000001</v>
      </c>
      <c r="R20" s="142">
        <v>0.25</v>
      </c>
      <c r="T20" s="146"/>
      <c r="V20" s="137"/>
      <c r="W20" s="137"/>
      <c r="X20" s="137"/>
      <c r="Y20" s="137"/>
      <c r="Z20" s="137"/>
      <c r="AA20" s="137"/>
      <c r="AB20" s="137"/>
      <c r="AC20" s="137"/>
      <c r="AD20" s="137"/>
      <c r="AE20" s="137"/>
    </row>
    <row r="21" spans="1:31" ht="30" customHeight="1" x14ac:dyDescent="0.3">
      <c r="A21" s="114" t="s">
        <v>401</v>
      </c>
      <c r="B21" s="121" t="s">
        <v>382</v>
      </c>
      <c r="C21" s="114" t="str">
        <f t="shared" si="0"/>
        <v>Obras Portuárias, Marítimas e Fluviais-AC</v>
      </c>
      <c r="E21" s="122">
        <v>0.04</v>
      </c>
      <c r="F21" s="122">
        <v>5.5199999999999999E-2</v>
      </c>
      <c r="G21" s="122">
        <v>7.85E-2</v>
      </c>
      <c r="I21" s="147" t="s">
        <v>402</v>
      </c>
      <c r="J21" s="147"/>
      <c r="K21" s="147"/>
      <c r="L21" s="147"/>
      <c r="M21" s="148" t="s">
        <v>403</v>
      </c>
      <c r="N21" s="149">
        <f>IF($I$5=$A$38,0,ROUND((((1+N12+N13+N14)*(1+N15)*(1+N16)/(1-(N17+N18+N19)))-1),4))</f>
        <v>0.27529999999999999</v>
      </c>
      <c r="O21" s="150" t="str">
        <f>IF(Q5&lt;&gt;"Sim","",O20)</f>
        <v>OK</v>
      </c>
      <c r="P21" s="151"/>
      <c r="Q21" s="151"/>
      <c r="R21" s="151"/>
      <c r="T21" s="146"/>
      <c r="V21" s="152" t="b">
        <f>AND(COUNTA(N12:N17)=6,O20&lt;&gt;"ok",NOT(V23))</f>
        <v>0</v>
      </c>
      <c r="W21" s="114" t="s">
        <v>404</v>
      </c>
    </row>
    <row r="22" spans="1:31" ht="7.5" customHeight="1" x14ac:dyDescent="0.25">
      <c r="A22" s="114" t="str">
        <f>A21</f>
        <v>Obras Portuárias, Marítimas e Fluviais</v>
      </c>
      <c r="B22" s="121" t="s">
        <v>384</v>
      </c>
      <c r="C22" s="114" t="str">
        <f t="shared" si="0"/>
        <v>Obras Portuárias, Marítimas e Fluviais-SG</v>
      </c>
      <c r="E22" s="122">
        <v>8.1000000000000013E-3</v>
      </c>
      <c r="F22" s="122">
        <v>1.2199999999999999E-2</v>
      </c>
      <c r="G22" s="122">
        <v>1.9900000000000001E-2</v>
      </c>
      <c r="I22" s="153" t="str">
        <f>IF(V23,"X","")</f>
        <v/>
      </c>
      <c r="J22" s="154"/>
      <c r="K22" s="154"/>
      <c r="L22" s="154"/>
      <c r="M22" s="154"/>
      <c r="N22" s="154"/>
      <c r="O22" s="154"/>
      <c r="P22" s="154"/>
      <c r="Q22" s="154"/>
      <c r="R22" s="155"/>
      <c r="V22" s="152"/>
    </row>
    <row r="23" spans="1:31" ht="21.75" customHeight="1" x14ac:dyDescent="0.25">
      <c r="A23" s="114" t="str">
        <f>A22</f>
        <v>Obras Portuárias, Marítimas e Fluviais</v>
      </c>
      <c r="B23" s="121" t="s">
        <v>373</v>
      </c>
      <c r="C23" s="114" t="str">
        <f t="shared" si="0"/>
        <v>Obras Portuárias, Marítimas e Fluviais-R</v>
      </c>
      <c r="E23" s="122">
        <v>1.46E-2</v>
      </c>
      <c r="F23" s="122">
        <v>2.3199999999999998E-2</v>
      </c>
      <c r="G23" s="122">
        <v>3.1600000000000003E-2</v>
      </c>
      <c r="I23" s="156"/>
      <c r="J23" s="157"/>
      <c r="K23" s="157"/>
      <c r="L23" s="157"/>
      <c r="M23" s="157"/>
      <c r="N23" s="157"/>
      <c r="O23" s="157"/>
      <c r="P23" s="157"/>
      <c r="Q23" s="157"/>
      <c r="R23" s="158"/>
      <c r="V23" s="152" t="b">
        <v>0</v>
      </c>
      <c r="W23" s="114" t="s">
        <v>405</v>
      </c>
    </row>
    <row r="24" spans="1:31" ht="7.5" customHeight="1" x14ac:dyDescent="0.25">
      <c r="B24" s="121"/>
      <c r="E24" s="122"/>
      <c r="F24" s="122"/>
      <c r="G24" s="122"/>
      <c r="I24" s="159"/>
      <c r="J24" s="160"/>
      <c r="K24" s="160"/>
      <c r="L24" s="160"/>
      <c r="M24" s="160"/>
      <c r="N24" s="160"/>
      <c r="O24" s="160"/>
      <c r="P24" s="160"/>
      <c r="Q24" s="160"/>
      <c r="R24" s="161"/>
      <c r="V24" s="152"/>
    </row>
    <row r="25" spans="1:31" ht="18.75" customHeight="1" x14ac:dyDescent="0.25">
      <c r="B25" s="121"/>
      <c r="E25" s="122"/>
      <c r="F25" s="122"/>
      <c r="G25" s="122"/>
      <c r="I25" s="162" t="s">
        <v>406</v>
      </c>
      <c r="J25" s="162"/>
      <c r="K25" s="162"/>
      <c r="L25" s="162"/>
      <c r="M25" s="162"/>
      <c r="N25" s="162"/>
      <c r="O25" s="162"/>
      <c r="P25" s="162"/>
      <c r="Q25" s="162"/>
      <c r="R25" s="162"/>
    </row>
    <row r="26" spans="1:31" ht="30" customHeight="1" x14ac:dyDescent="0.3">
      <c r="A26" s="114" t="str">
        <f>A23</f>
        <v>Obras Portuárias, Marítimas e Fluviais</v>
      </c>
      <c r="B26" s="121" t="s">
        <v>376</v>
      </c>
      <c r="C26" s="114" t="str">
        <f t="shared" si="0"/>
        <v>Obras Portuárias, Marítimas e Fluviais-DF</v>
      </c>
      <c r="E26" s="122">
        <v>9.3999999999999986E-3</v>
      </c>
      <c r="F26" s="122">
        <v>1.0200000000000001E-2</v>
      </c>
      <c r="G26" s="122">
        <v>1.3300000000000001E-2</v>
      </c>
      <c r="I26" s="163"/>
      <c r="J26" s="164"/>
      <c r="K26" s="164"/>
      <c r="L26" s="165" t="str">
        <f>IF(Q5="Sim","BDI.DES =","BDI.PAD =")</f>
        <v>BDI.DES =</v>
      </c>
      <c r="M26" s="166" t="str">
        <f>IF($I$5=$A$39,"(1+K1+K2)*(1+K3)","(1+AC + S + R + G)*(1 + DF)*(1+L)")</f>
        <v>(1+AC + S + R + G)*(1 + DF)*(1+L)</v>
      </c>
      <c r="N26" s="166"/>
      <c r="O26" s="166"/>
      <c r="P26" s="167" t="s">
        <v>407</v>
      </c>
      <c r="Q26" s="164"/>
      <c r="R26" s="168"/>
    </row>
    <row r="27" spans="1:31" ht="27" customHeight="1" x14ac:dyDescent="0.25">
      <c r="A27" s="114" t="str">
        <f>A26</f>
        <v>Obras Portuárias, Marítimas e Fluviais</v>
      </c>
      <c r="B27" s="121" t="s">
        <v>378</v>
      </c>
      <c r="C27" s="114" t="str">
        <f t="shared" si="0"/>
        <v>Obras Portuárias, Marítimas e Fluviais-L</v>
      </c>
      <c r="E27" s="122">
        <v>7.1399999999999991E-2</v>
      </c>
      <c r="F27" s="122">
        <v>8.4000000000000005E-2</v>
      </c>
      <c r="G27" s="122">
        <v>0.1043</v>
      </c>
      <c r="I27" s="169"/>
      <c r="J27" s="170"/>
      <c r="K27" s="170"/>
      <c r="L27" s="171"/>
      <c r="M27" s="172" t="str">
        <f>IF(Q5="Sim","(1-CP-ISS-CRPB)","(1-CP-ISS)")</f>
        <v>(1-CP-ISS-CRPB)</v>
      </c>
      <c r="N27" s="172"/>
      <c r="O27" s="172"/>
      <c r="P27" s="173"/>
      <c r="Q27" s="170"/>
      <c r="R27" s="174"/>
    </row>
    <row r="28" spans="1:31" x14ac:dyDescent="0.25">
      <c r="A28" s="114" t="str">
        <f>A27</f>
        <v>Obras Portuárias, Marítimas e Fluviais</v>
      </c>
      <c r="B28" s="129" t="s">
        <v>379</v>
      </c>
      <c r="C28" s="114" t="str">
        <f t="shared" si="0"/>
        <v>Obras Portuárias, Marítimas e Fluviais-BDI PAD</v>
      </c>
      <c r="E28" s="122">
        <v>0.22800000000000001</v>
      </c>
      <c r="F28" s="122">
        <v>0.27479999999999999</v>
      </c>
      <c r="G28" s="122">
        <v>0.3095</v>
      </c>
      <c r="I28" s="175"/>
      <c r="J28" s="176"/>
      <c r="K28" s="176"/>
      <c r="L28" s="176"/>
      <c r="M28" s="176"/>
      <c r="N28" s="176"/>
      <c r="O28" s="176"/>
      <c r="P28" s="176"/>
      <c r="Q28" s="176"/>
      <c r="R28" s="177"/>
    </row>
    <row r="29" spans="1:31" ht="45" customHeight="1" x14ac:dyDescent="0.25">
      <c r="B29" s="129"/>
      <c r="E29" s="122"/>
      <c r="F29" s="122"/>
      <c r="G29" s="122"/>
      <c r="I29" s="178" t="str">
        <f>CONCATENATE("Declaro para os devidos fins que, conforme legislação tributária municipal, a base de cálculo para ",I5,", é de ",Q7*100,"%, com a respectiva alíquota de ",Q8*100,"%.")</f>
        <v>Declaro para os devidos fins que, conforme legislação tributária municipal, a base de cálculo para Construção e Reforma de Edifícios, é de 100%, com a respectiva alíquota de 5%.</v>
      </c>
      <c r="J29" s="178"/>
      <c r="K29" s="178"/>
      <c r="L29" s="178"/>
      <c r="M29" s="178"/>
      <c r="N29" s="178"/>
      <c r="O29" s="178"/>
      <c r="P29" s="178"/>
      <c r="Q29" s="178"/>
      <c r="R29" s="178"/>
    </row>
    <row r="30" spans="1:31" ht="11.25" customHeight="1" x14ac:dyDescent="0.25">
      <c r="B30" s="129"/>
      <c r="E30" s="122"/>
      <c r="F30" s="122"/>
      <c r="G30" s="122"/>
      <c r="I30" s="179"/>
      <c r="J30" s="180"/>
      <c r="K30" s="180"/>
      <c r="L30" s="180"/>
      <c r="M30" s="180"/>
      <c r="N30" s="180"/>
      <c r="O30" s="180"/>
      <c r="P30" s="180"/>
      <c r="Q30" s="180"/>
      <c r="R30" s="181"/>
    </row>
    <row r="31" spans="1:31" ht="52.5" customHeight="1" x14ac:dyDescent="0.25">
      <c r="B31" s="129"/>
      <c r="E31" s="122"/>
      <c r="F31" s="122"/>
      <c r="G31" s="122"/>
      <c r="I31" s="182" t="str">
        <f>CONCATENATE("Declaro para os devidos fins que o regime de Contribuição Previdenciária sobre a Receita Bruta adotado para elaboração do orçamento foi ",IF(Q5="Sim","COM","SEM")," Desoneração, e que esta é a alternativa mais adequada para a Administração Pública.")</f>
        <v>Declaro para os devidos fins que o regime de Contribuição Previdenciária sobre a Receita Bruta adotado para elaboração do orçamento foi COM Desoneração, e que esta é a alternativa mais adequada para a Administração Pública.</v>
      </c>
      <c r="J31" s="182"/>
      <c r="K31" s="182"/>
      <c r="L31" s="182"/>
      <c r="M31" s="182"/>
      <c r="N31" s="182"/>
      <c r="O31" s="182"/>
      <c r="P31" s="182"/>
      <c r="Q31" s="182"/>
      <c r="R31" s="182"/>
    </row>
    <row r="32" spans="1:31" hidden="1" x14ac:dyDescent="0.25">
      <c r="A32" s="114" t="s">
        <v>377</v>
      </c>
    </row>
    <row r="33" spans="1:7" hidden="1" x14ac:dyDescent="0.25">
      <c r="A33" s="114" t="s">
        <v>372</v>
      </c>
    </row>
    <row r="34" spans="1:7" hidden="1" x14ac:dyDescent="0.25">
      <c r="A34" s="114" t="s">
        <v>381</v>
      </c>
    </row>
    <row r="35" spans="1:7" hidden="1" x14ac:dyDescent="0.25">
      <c r="A35" s="114" t="s">
        <v>393</v>
      </c>
    </row>
    <row r="36" spans="1:7" hidden="1" x14ac:dyDescent="0.25">
      <c r="A36" s="114" t="s">
        <v>401</v>
      </c>
    </row>
    <row r="37" spans="1:7" hidden="1" x14ac:dyDescent="0.25">
      <c r="A37" s="114" t="s">
        <v>408</v>
      </c>
    </row>
    <row r="38" spans="1:7" hidden="1" x14ac:dyDescent="0.25">
      <c r="A38" s="114" t="s">
        <v>409</v>
      </c>
    </row>
    <row r="39" spans="1:7" hidden="1" x14ac:dyDescent="0.25">
      <c r="A39" s="114" t="s">
        <v>410</v>
      </c>
    </row>
    <row r="40" spans="1:7" ht="13.8" hidden="1" x14ac:dyDescent="0.25">
      <c r="A40" s="183"/>
      <c r="B40" s="184"/>
      <c r="C40" s="184"/>
      <c r="D40" s="184"/>
      <c r="E40" s="184"/>
      <c r="F40" s="184"/>
      <c r="G40" s="184"/>
    </row>
    <row r="41" spans="1:7" ht="13.2" customHeight="1" x14ac:dyDescent="0.25"/>
    <row r="42" spans="1:7" ht="13.2" customHeight="1" x14ac:dyDescent="0.25"/>
    <row r="43" spans="1:7" ht="13.2" customHeight="1" x14ac:dyDescent="0.25"/>
    <row r="44" spans="1:7" ht="13.2" customHeight="1" x14ac:dyDescent="0.25"/>
    <row r="45" spans="1:7" ht="13.2" customHeight="1" x14ac:dyDescent="0.25"/>
    <row r="46" spans="1:7" ht="13.2" customHeight="1" x14ac:dyDescent="0.25"/>
    <row r="47" spans="1:7" ht="13.2" customHeight="1" x14ac:dyDescent="0.25"/>
    <row r="48" spans="1:7" ht="13.2" customHeight="1" x14ac:dyDescent="0.25"/>
    <row r="49" ht="13.2" customHeight="1" x14ac:dyDescent="0.25"/>
    <row r="50" ht="13.2" customHeight="1" x14ac:dyDescent="0.25"/>
    <row r="51" ht="13.2" customHeight="1" x14ac:dyDescent="0.25"/>
    <row r="52" ht="13.2" customHeight="1" x14ac:dyDescent="0.25"/>
    <row r="53" ht="13.2" customHeight="1" x14ac:dyDescent="0.25"/>
    <row r="54" ht="13.2" customHeight="1" x14ac:dyDescent="0.25"/>
    <row r="55" ht="13.2" customHeight="1" x14ac:dyDescent="0.25"/>
    <row r="56" ht="13.2" customHeight="1" x14ac:dyDescent="0.25"/>
    <row r="57" ht="13.2" customHeight="1" x14ac:dyDescent="0.25"/>
    <row r="58" ht="13.2" customHeight="1" x14ac:dyDescent="0.25"/>
    <row r="59" ht="13.2" customHeight="1" x14ac:dyDescent="0.25"/>
    <row r="60" ht="13.2" customHeight="1" x14ac:dyDescent="0.25"/>
    <row r="61" ht="13.2" customHeight="1" x14ac:dyDescent="0.25"/>
    <row r="62" ht="13.2" customHeight="1" x14ac:dyDescent="0.25"/>
    <row r="63" ht="13.2" customHeight="1" x14ac:dyDescent="0.25"/>
    <row r="64" ht="13.2" customHeight="1" x14ac:dyDescent="0.25"/>
    <row r="65" ht="13.2" customHeight="1" x14ac:dyDescent="0.25"/>
    <row r="66" ht="13.2" customHeight="1" x14ac:dyDescent="0.25"/>
    <row r="67" ht="13.2" customHeight="1" x14ac:dyDescent="0.25"/>
    <row r="68" ht="13.2" customHeight="1" x14ac:dyDescent="0.25"/>
    <row r="69" ht="13.2" customHeight="1" x14ac:dyDescent="0.25"/>
    <row r="70" ht="13.2" customHeight="1" x14ac:dyDescent="0.25"/>
    <row r="71" ht="13.2" customHeight="1" x14ac:dyDescent="0.25"/>
    <row r="72" ht="13.2" customHeight="1" x14ac:dyDescent="0.25"/>
    <row r="73" ht="13.2" customHeight="1" x14ac:dyDescent="0.25"/>
    <row r="74" ht="13.2" customHeight="1" x14ac:dyDescent="0.25"/>
    <row r="75" ht="13.2" customHeight="1" x14ac:dyDescent="0.25"/>
    <row r="76" ht="13.2" customHeight="1" x14ac:dyDescent="0.25"/>
    <row r="77" ht="13.2" customHeight="1" x14ac:dyDescent="0.25"/>
    <row r="78" ht="13.2" customHeight="1" x14ac:dyDescent="0.25"/>
    <row r="79" ht="13.2" customHeight="1" x14ac:dyDescent="0.25"/>
  </sheetData>
  <mergeCells count="45">
    <mergeCell ref="I28:R28"/>
    <mergeCell ref="I29:R29"/>
    <mergeCell ref="I30:R30"/>
    <mergeCell ref="I31:R31"/>
    <mergeCell ref="I26:K27"/>
    <mergeCell ref="L26:L27"/>
    <mergeCell ref="M26:O26"/>
    <mergeCell ref="P26:P27"/>
    <mergeCell ref="Q26:R27"/>
    <mergeCell ref="M27:O27"/>
    <mergeCell ref="I19:L19"/>
    <mergeCell ref="I20:L20"/>
    <mergeCell ref="I21:L21"/>
    <mergeCell ref="P21:R21"/>
    <mergeCell ref="I22:R24"/>
    <mergeCell ref="I25:R25"/>
    <mergeCell ref="T10:U18"/>
    <mergeCell ref="I12:L12"/>
    <mergeCell ref="I13:L13"/>
    <mergeCell ref="I14:L14"/>
    <mergeCell ref="I15:L15"/>
    <mergeCell ref="I16:L16"/>
    <mergeCell ref="I17:L17"/>
    <mergeCell ref="I18:L18"/>
    <mergeCell ref="I9:R9"/>
    <mergeCell ref="I10:L11"/>
    <mergeCell ref="M10:M11"/>
    <mergeCell ref="N10:N11"/>
    <mergeCell ref="O10:O11"/>
    <mergeCell ref="P10:P11"/>
    <mergeCell ref="Q10:Q11"/>
    <mergeCell ref="R10:R11"/>
    <mergeCell ref="I5:P5"/>
    <mergeCell ref="Q5:R5"/>
    <mergeCell ref="I6:R6"/>
    <mergeCell ref="I7:P7"/>
    <mergeCell ref="Q7:R7"/>
    <mergeCell ref="I8:P8"/>
    <mergeCell ref="Q8:R8"/>
    <mergeCell ref="I1:R1"/>
    <mergeCell ref="I2:O3"/>
    <mergeCell ref="Q2:R2"/>
    <mergeCell ref="Q3:R3"/>
    <mergeCell ref="I4:P4"/>
    <mergeCell ref="Q4:R4"/>
  </mergeCells>
  <conditionalFormatting sqref="I22">
    <cfRule type="expression" dxfId="9" priority="7" stopIfTrue="1">
      <formula>AND(NOT($V$21),NOT($V$23))</formula>
    </cfRule>
  </conditionalFormatting>
  <conditionalFormatting sqref="I20:N20">
    <cfRule type="expression" dxfId="8" priority="9" stopIfTrue="1">
      <formula>$Q$5="Não"</formula>
    </cfRule>
  </conditionalFormatting>
  <conditionalFormatting sqref="I21:N21">
    <cfRule type="expression" dxfId="7" priority="8" stopIfTrue="1">
      <formula>$Q$5="sim"</formula>
    </cfRule>
  </conditionalFormatting>
  <conditionalFormatting sqref="O12:O21">
    <cfRule type="expression" dxfId="6" priority="2" stopIfTrue="1">
      <formula>AND(O12&lt;&gt;"OK",O12&lt;&gt;"-",O12&lt;&gt;"")</formula>
    </cfRule>
    <cfRule type="cellIs" dxfId="5" priority="3" stopIfTrue="1" operator="equal">
      <formula>"OK"</formula>
    </cfRule>
  </conditionalFormatting>
  <conditionalFormatting sqref="P20">
    <cfRule type="expression" dxfId="4" priority="1" stopIfTrue="1">
      <formula>$I$5=$A$52</formula>
    </cfRule>
  </conditionalFormatting>
  <conditionalFormatting sqref="P12:R17">
    <cfRule type="expression" dxfId="3" priority="6" stopIfTrue="1">
      <formula>$I$14=#REF!</formula>
    </cfRule>
  </conditionalFormatting>
  <conditionalFormatting sqref="P18:R19">
    <cfRule type="expression" dxfId="2" priority="10" stopIfTrue="1">
      <formula>$I$5=$A$38</formula>
    </cfRule>
  </conditionalFormatting>
  <conditionalFormatting sqref="P21:R21">
    <cfRule type="expression" dxfId="1" priority="4" stopIfTrue="1">
      <formula>$Q$5="sim"</formula>
    </cfRule>
  </conditionalFormatting>
  <conditionalFormatting sqref="Q20:R20">
    <cfRule type="expression" dxfId="0" priority="5" stopIfTrue="1">
      <formula>$Q$5="Não"</formula>
    </cfRule>
  </conditionalFormatting>
  <dataValidations count="6">
    <dataValidation type="list" allowBlank="1" showInputMessage="1" showErrorMessage="1" sqref="I5:P5" xr:uid="{7EC6E293-0823-4C87-9A14-317004DFF5FD}">
      <formula1>$A$32:$A$39</formula1>
    </dataValidation>
    <dataValidation operator="greaterThanOrEqual" allowBlank="1" showInputMessage="1" showErrorMessage="1" errorTitle="Erro de valores" error="Digite um valor igual a 0% ou 2%." sqref="N19" xr:uid="{C61D8236-3637-46B9-A00F-BAA18FF2D3C6}"/>
    <dataValidation type="decimal" allowBlank="1" showInputMessage="1" showErrorMessage="1" errorTitle="Erro de valores" error="Digite um valor maior do que 0." sqref="N18" xr:uid="{C5AB777B-3768-45F7-A607-65FB14447395}">
      <formula1>0</formula1>
      <formula2>1</formula2>
    </dataValidation>
    <dataValidation type="decimal" allowBlank="1" showInputMessage="1" showErrorMessage="1" errorTitle="Valor não permitido" error="Digite um percentual entre 0% e 100%." promptTitle="Valores admissíveis:" prompt="Insira valores entre 0 e 100%." sqref="Q7:R7" xr:uid="{A754DD2A-3BC4-4BA4-9BFD-CFBC84B2CC59}">
      <formula1>0</formula1>
      <formula2>1</formula2>
    </dataValidation>
    <dataValidation type="decimal" operator="greaterThanOrEqual" allowBlank="1" showInputMessage="1" showErrorMessage="1" errorTitle="Valor não permitido" error="Digite um percentual entre 0% e 100%." promptTitle="Valores comuns:" prompt="Normalmente entre 2 e 5%." sqref="Q8:R8" xr:uid="{23F7439B-99A9-4294-8FB7-F754A3757E07}">
      <formula1>0</formula1>
    </dataValidation>
    <dataValidation type="decimal" allowBlank="1" showInputMessage="1" showErrorMessage="1" errorTitle="Erro de valores" error="Digite um valor entre 0% e 100%" sqref="N12:N17" xr:uid="{5C062AD2-3DE4-476D-9904-AE951B070356}">
      <formula1>0</formula1>
      <formula2>1</formula2>
    </dataValidation>
  </dataValidations>
  <pageMargins left="0.511811024" right="0.511811024" top="0.78740157499999996" bottom="0.78740157499999996" header="0.31496062000000002" footer="0.31496062000000002"/>
  <pageSetup paperSize="9" scale="83" orientation="portrait" horizontalDpi="360" verticalDpi="36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800D76-F21D-46F7-B71E-CDD51BFC3AEE}">
  <dimension ref="A1"/>
  <sheetViews>
    <sheetView view="pageBreakPreview" zoomScaleNormal="100" zoomScaleSheetLayoutView="100" workbookViewId="0">
      <selection activeCell="E41" sqref="E41"/>
    </sheetView>
  </sheetViews>
  <sheetFormatPr defaultRowHeight="14.4" x14ac:dyDescent="0.3"/>
  <sheetData/>
  <pageMargins left="0.511811024" right="0.511811024" top="0.78740157499999996" bottom="0.78740157499999996" header="0.31496062000000002" footer="0.31496062000000002"/>
  <pageSetup paperSize="9" orientation="portrait" horizontalDpi="360" verticalDpi="36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EE99E3-CFCA-4BCC-A69A-A234C47C83B7}">
  <dimension ref="A1:N12"/>
  <sheetViews>
    <sheetView view="pageBreakPreview" zoomScaleNormal="100" zoomScaleSheetLayoutView="100" workbookViewId="0">
      <selection activeCell="E2" sqref="E2"/>
    </sheetView>
  </sheetViews>
  <sheetFormatPr defaultRowHeight="15.6" x14ac:dyDescent="0.3"/>
  <cols>
    <col min="1" max="1" width="15" style="97" customWidth="1"/>
    <col min="2" max="2" width="20.5546875" style="97" customWidth="1"/>
    <col min="3" max="4" width="12" style="97" customWidth="1"/>
    <col min="5" max="5" width="70" style="99" customWidth="1"/>
    <col min="6" max="6" width="20" style="97" customWidth="1"/>
    <col min="7" max="7" width="10" style="97" customWidth="1"/>
    <col min="8" max="8" width="25" style="97" customWidth="1"/>
  </cols>
  <sheetData>
    <row r="1" spans="1:8" x14ac:dyDescent="0.3">
      <c r="A1" s="95"/>
      <c r="B1" s="93"/>
      <c r="C1" s="100"/>
      <c r="D1" s="100"/>
      <c r="E1" s="101" t="s">
        <v>369</v>
      </c>
      <c r="G1" s="96" t="s">
        <v>363</v>
      </c>
      <c r="H1" s="96"/>
    </row>
    <row r="2" spans="1:8" ht="91.2" customHeight="1" x14ac:dyDescent="0.3">
      <c r="A2" s="95"/>
      <c r="B2" s="94"/>
      <c r="C2" s="98"/>
      <c r="D2" s="98"/>
      <c r="E2" s="101" t="s">
        <v>415</v>
      </c>
      <c r="G2" s="96" t="s">
        <v>366</v>
      </c>
      <c r="H2" s="96"/>
    </row>
    <row r="4" spans="1:8" x14ac:dyDescent="0.3">
      <c r="A4" s="186" t="s">
        <v>413</v>
      </c>
      <c r="B4" s="186"/>
      <c r="C4" s="186"/>
      <c r="D4" s="186"/>
      <c r="E4" s="186"/>
      <c r="F4" s="186"/>
      <c r="G4" s="186"/>
      <c r="H4" s="186"/>
    </row>
    <row r="5" spans="1:8" ht="31.2" x14ac:dyDescent="0.3">
      <c r="A5" s="102" t="s">
        <v>0</v>
      </c>
      <c r="B5" s="192" t="s">
        <v>1</v>
      </c>
      <c r="C5" s="102" t="s">
        <v>2</v>
      </c>
      <c r="D5" s="102" t="s">
        <v>3</v>
      </c>
      <c r="E5" s="103" t="s">
        <v>4</v>
      </c>
      <c r="F5" s="102" t="s">
        <v>5</v>
      </c>
      <c r="G5" s="102" t="s">
        <v>6</v>
      </c>
      <c r="H5" s="102" t="s">
        <v>412</v>
      </c>
    </row>
    <row r="6" spans="1:8" s="190" customFormat="1" ht="45" customHeight="1" x14ac:dyDescent="0.3">
      <c r="A6" s="187" t="s">
        <v>21</v>
      </c>
      <c r="B6" s="187" t="s">
        <v>73</v>
      </c>
      <c r="C6" s="187" t="s">
        <v>67</v>
      </c>
      <c r="D6" s="187" t="s">
        <v>74</v>
      </c>
      <c r="E6" s="188" t="s">
        <v>75</v>
      </c>
      <c r="F6" s="189">
        <v>1400</v>
      </c>
      <c r="G6" s="187" t="s">
        <v>31</v>
      </c>
      <c r="H6" s="191">
        <f>F6*0.5</f>
        <v>700</v>
      </c>
    </row>
    <row r="7" spans="1:8" s="190" customFormat="1" ht="45" customHeight="1" x14ac:dyDescent="0.3">
      <c r="A7" s="187" t="s">
        <v>21</v>
      </c>
      <c r="B7" s="187" t="s">
        <v>76</v>
      </c>
      <c r="C7" s="187" t="s">
        <v>67</v>
      </c>
      <c r="D7" s="187" t="s">
        <v>56</v>
      </c>
      <c r="E7" s="188" t="s">
        <v>57</v>
      </c>
      <c r="F7" s="189">
        <v>1400</v>
      </c>
      <c r="G7" s="187" t="s">
        <v>31</v>
      </c>
      <c r="H7" s="191">
        <f t="shared" ref="H7:H12" si="0">F7*0.5</f>
        <v>700</v>
      </c>
    </row>
    <row r="8" spans="1:8" s="190" customFormat="1" ht="45" customHeight="1" x14ac:dyDescent="0.3">
      <c r="A8" s="187" t="s">
        <v>21</v>
      </c>
      <c r="B8" s="187" t="s">
        <v>104</v>
      </c>
      <c r="C8" s="187" t="s">
        <v>23</v>
      </c>
      <c r="D8" s="187" t="s">
        <v>105</v>
      </c>
      <c r="E8" s="188" t="s">
        <v>106</v>
      </c>
      <c r="F8" s="189">
        <v>888</v>
      </c>
      <c r="G8" s="187" t="s">
        <v>31</v>
      </c>
      <c r="H8" s="191">
        <f t="shared" si="0"/>
        <v>444</v>
      </c>
    </row>
    <row r="9" spans="1:8" s="190" customFormat="1" ht="45" customHeight="1" x14ac:dyDescent="0.3">
      <c r="A9" s="187" t="s">
        <v>21</v>
      </c>
      <c r="B9" s="187" t="s">
        <v>172</v>
      </c>
      <c r="C9" s="187" t="s">
        <v>23</v>
      </c>
      <c r="D9" s="187" t="s">
        <v>173</v>
      </c>
      <c r="E9" s="188" t="s">
        <v>174</v>
      </c>
      <c r="F9" s="189">
        <v>142.83000000000001</v>
      </c>
      <c r="G9" s="187" t="s">
        <v>31</v>
      </c>
      <c r="H9" s="191">
        <f t="shared" si="0"/>
        <v>71.415000000000006</v>
      </c>
    </row>
    <row r="10" spans="1:8" s="190" customFormat="1" ht="45" customHeight="1" x14ac:dyDescent="0.3">
      <c r="A10" s="187" t="s">
        <v>21</v>
      </c>
      <c r="B10" s="187" t="s">
        <v>188</v>
      </c>
      <c r="C10" s="187" t="s">
        <v>67</v>
      </c>
      <c r="D10" s="187" t="s">
        <v>189</v>
      </c>
      <c r="E10" s="188" t="s">
        <v>190</v>
      </c>
      <c r="F10" s="189">
        <v>6</v>
      </c>
      <c r="G10" s="187" t="s">
        <v>25</v>
      </c>
      <c r="H10" s="191">
        <f t="shared" si="0"/>
        <v>3</v>
      </c>
    </row>
    <row r="11" spans="1:8" s="190" customFormat="1" ht="45" customHeight="1" x14ac:dyDescent="0.3">
      <c r="A11" s="187" t="s">
        <v>21</v>
      </c>
      <c r="B11" s="187" t="s">
        <v>194</v>
      </c>
      <c r="C11" s="187" t="s">
        <v>23</v>
      </c>
      <c r="D11" s="187" t="s">
        <v>151</v>
      </c>
      <c r="E11" s="188" t="s">
        <v>152</v>
      </c>
      <c r="F11" s="189">
        <v>643.89</v>
      </c>
      <c r="G11" s="187" t="s">
        <v>31</v>
      </c>
      <c r="H11" s="191">
        <f t="shared" si="0"/>
        <v>321.94499999999999</v>
      </c>
    </row>
    <row r="12" spans="1:8" s="190" customFormat="1" ht="45" customHeight="1" x14ac:dyDescent="0.3">
      <c r="A12" s="187" t="s">
        <v>21</v>
      </c>
      <c r="B12" s="187" t="s">
        <v>195</v>
      </c>
      <c r="C12" s="187" t="s">
        <v>23</v>
      </c>
      <c r="D12" s="187" t="s">
        <v>196</v>
      </c>
      <c r="E12" s="188" t="s">
        <v>155</v>
      </c>
      <c r="F12" s="189">
        <v>643.89</v>
      </c>
      <c r="G12" s="187" t="s">
        <v>31</v>
      </c>
      <c r="H12" s="191">
        <f t="shared" si="0"/>
        <v>321.94499999999999</v>
      </c>
    </row>
  </sheetData>
  <mergeCells count="5">
    <mergeCell ref="A4:H4"/>
    <mergeCell ref="B1:D1"/>
    <mergeCell ref="G1:H1"/>
    <mergeCell ref="B2:D2"/>
    <mergeCell ref="G2:H2"/>
  </mergeCells>
  <pageMargins left="0.51181102362204722" right="0.51181102362204722" top="0.78740157480314965" bottom="0.78740157480314965" header="0.31496062992125984" footer="0.31496062992125984"/>
  <pageSetup paperSize="9" scale="69"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4</vt:i4>
      </vt:variant>
    </vt:vector>
  </HeadingPairs>
  <TitlesOfParts>
    <vt:vector size="9" baseType="lpstr">
      <vt:lpstr>BM</vt:lpstr>
      <vt:lpstr>CFF-BM</vt:lpstr>
      <vt:lpstr>BDI</vt:lpstr>
      <vt:lpstr>ENCARGOS</vt:lpstr>
      <vt:lpstr>ABC</vt:lpstr>
      <vt:lpstr>ABC!Area_de_impressao</vt:lpstr>
      <vt:lpstr>BDI!Area_de_impressao</vt:lpstr>
      <vt:lpstr>BM!Area_de_impressao</vt:lpstr>
      <vt:lpstr>BM!Titulos_de_impressao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DIEGO XIMENES F. FERNANDES</cp:lastModifiedBy>
  <cp:lastPrinted>2026-02-10T04:17:46Z</cp:lastPrinted>
  <dcterms:created xsi:type="dcterms:W3CDTF">2026-02-04T19:25:21Z</dcterms:created>
  <dcterms:modified xsi:type="dcterms:W3CDTF">2026-02-10T04:25:46Z</dcterms:modified>
</cp:coreProperties>
</file>